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https://povosi.sharepoint.com/sites/PO-clustercpav/Gedeelde documenten/Communicatie en Public Affairs/03 Online/Content/Downloads en documenten/2023/"/>
    </mc:Choice>
  </mc:AlternateContent>
  <xr:revisionPtr revIDLastSave="0" documentId="8_{99F650B9-6A8E-4CCA-B2AA-35D06D2D4156}" xr6:coauthVersionLast="47" xr6:coauthVersionMax="47" xr10:uidLastSave="{00000000-0000-0000-0000-000000000000}"/>
  <bookViews>
    <workbookView xWindow="384" yWindow="384" windowWidth="17280" windowHeight="8880" tabRatio="684" xr2:uid="{E084AF98-5732-47F7-8DA6-4EB40220092C}"/>
  </bookViews>
  <sheets>
    <sheet name="info" sheetId="19" r:id="rId1"/>
    <sheet name="bas" sheetId="1" r:id="rId2"/>
    <sheet name="aanv-bas" sheetId="11" r:id="rId3"/>
    <sheet name="groei-bas" sheetId="12" r:id="rId4"/>
    <sheet name="sbo" sheetId="4" r:id="rId5"/>
    <sheet name="aanv-sbo" sheetId="16" r:id="rId6"/>
    <sheet name="(v)so" sheetId="5" r:id="rId7"/>
    <sheet name="aanv-so" sheetId="17" r:id="rId8"/>
    <sheet name="swv po" sheetId="8" r:id="rId9"/>
    <sheet name="swv vo" sheetId="22" r:id="rId10"/>
    <sheet name="tab" sheetId="2" r:id="rId11"/>
  </sheets>
  <definedNames>
    <definedName name="_Toc83280053" localSheetId="2">'aanv-bas'!#REF!</definedName>
    <definedName name="_xlnm.Print_Area" localSheetId="6">'(v)so'!$B$1:$K$82</definedName>
    <definedName name="_xlnm.Print_Area" localSheetId="2">'aanv-bas'!$B$1:$G$114</definedName>
    <definedName name="_xlnm.Print_Area" localSheetId="5">'aanv-sbo'!$B$1:$G$17</definedName>
    <definedName name="_xlnm.Print_Area" localSheetId="7">'aanv-so'!$B$1:$G$19</definedName>
    <definedName name="_xlnm.Print_Area" localSheetId="1">bas!$B$1:$K$79</definedName>
    <definedName name="_xlnm.Print_Area" localSheetId="3">'groei-bas'!$B$1:$G$26</definedName>
    <definedName name="_xlnm.Print_Area" localSheetId="0">info!$A$1:$C$21</definedName>
    <definedName name="_xlnm.Print_Area" localSheetId="4">sbo!$B$1:$K$64</definedName>
    <definedName name="_xlnm.Print_Area" localSheetId="8">'swv po'!$B$1:$J$33</definedName>
    <definedName name="_xlnm.Print_Area" localSheetId="9">'swv vo'!$B$1:$L$43</definedName>
    <definedName name="_xlnm.Print_Area" localSheetId="10">tab!$A$1:$E$79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2" l="1"/>
  <c r="H1" i="2" s="1"/>
  <c r="I1" i="2" s="1"/>
  <c r="J1" i="2" s="1"/>
  <c r="L43" i="2"/>
  <c r="N8" i="2"/>
  <c r="N31" i="2"/>
  <c r="M4" i="2"/>
  <c r="M3" i="2"/>
  <c r="N3" i="2" s="1"/>
  <c r="N4" i="2" l="1"/>
  <c r="N5" i="2" s="1"/>
  <c r="M5" i="2"/>
  <c r="D5" i="2"/>
  <c r="C8" i="2" s="1"/>
  <c r="F5" i="2" l="1"/>
  <c r="N9" i="2"/>
  <c r="M9" i="2"/>
  <c r="L9" i="2"/>
  <c r="C30" i="2"/>
  <c r="M8" i="2"/>
  <c r="L40" i="2"/>
  <c r="L65" i="2"/>
  <c r="L74" i="2"/>
  <c r="L73" i="2"/>
  <c r="L75" i="2"/>
  <c r="L72" i="2"/>
  <c r="L68" i="2"/>
  <c r="L66" i="2"/>
  <c r="L63" i="2"/>
  <c r="L62" i="2"/>
  <c r="L61" i="2"/>
  <c r="L60" i="2"/>
  <c r="L59" i="2"/>
  <c r="L58" i="2"/>
  <c r="L57" i="2"/>
  <c r="L56" i="2"/>
  <c r="L55" i="2"/>
  <c r="L54" i="2"/>
  <c r="L53" i="2"/>
  <c r="L52" i="2"/>
  <c r="L51" i="2"/>
  <c r="L50" i="2"/>
  <c r="L49" i="2"/>
  <c r="L48" i="2"/>
  <c r="L47" i="2"/>
  <c r="L46" i="2"/>
  <c r="L45" i="2"/>
  <c r="L44" i="2"/>
  <c r="L42" i="2"/>
  <c r="L41" i="2"/>
  <c r="L36" i="2"/>
  <c r="L35" i="2"/>
  <c r="L34" i="2"/>
  <c r="L33" i="2"/>
  <c r="L32" i="2"/>
  <c r="L31" i="2"/>
  <c r="L30" i="2"/>
  <c r="L27" i="2"/>
  <c r="L26" i="2"/>
  <c r="L25" i="2"/>
  <c r="L24" i="2"/>
  <c r="L23" i="2"/>
  <c r="L22" i="2"/>
  <c r="L21" i="2"/>
  <c r="L19" i="2"/>
  <c r="L18" i="2"/>
  <c r="L17" i="2"/>
  <c r="L16" i="2"/>
  <c r="L15" i="2"/>
  <c r="L14" i="2"/>
  <c r="L13" i="2"/>
  <c r="L12" i="2"/>
  <c r="L11" i="2"/>
  <c r="L10" i="2"/>
  <c r="L8" i="2"/>
  <c r="F75" i="2" l="1"/>
  <c r="F68" i="2"/>
  <c r="F24" i="4"/>
  <c r="E24" i="4"/>
  <c r="E36" i="1"/>
  <c r="C88" i="2"/>
  <c r="C80" i="2"/>
  <c r="J88" i="2"/>
  <c r="I88" i="2"/>
  <c r="H88" i="2"/>
  <c r="G88" i="2"/>
  <c r="F88" i="2"/>
  <c r="O73" i="2" l="1"/>
  <c r="M78" i="2"/>
  <c r="M77" i="2"/>
  <c r="M76" i="2"/>
  <c r="M75" i="2"/>
  <c r="M74" i="2"/>
  <c r="M73" i="2"/>
  <c r="M72" i="2"/>
  <c r="M71" i="2"/>
  <c r="M70" i="2"/>
  <c r="M69" i="2"/>
  <c r="M68" i="2"/>
  <c r="M67" i="2"/>
  <c r="M66" i="2"/>
  <c r="M63" i="2"/>
  <c r="M62" i="2"/>
  <c r="M61" i="2"/>
  <c r="M60" i="2"/>
  <c r="M59" i="2"/>
  <c r="M58" i="2"/>
  <c r="M57" i="2"/>
  <c r="M56" i="2"/>
  <c r="M55" i="2"/>
  <c r="M54" i="2"/>
  <c r="M53" i="2"/>
  <c r="M52" i="2"/>
  <c r="M51" i="2"/>
  <c r="M50" i="2"/>
  <c r="M49" i="2"/>
  <c r="M48" i="2"/>
  <c r="M47" i="2"/>
  <c r="M46" i="2"/>
  <c r="M45" i="2"/>
  <c r="M44" i="2"/>
  <c r="M43" i="2"/>
  <c r="M42" i="2"/>
  <c r="M41" i="2"/>
  <c r="M36" i="2"/>
  <c r="M35" i="2"/>
  <c r="M34" i="2"/>
  <c r="M33" i="2"/>
  <c r="M32" i="2"/>
  <c r="M31" i="2"/>
  <c r="M27" i="2"/>
  <c r="M26" i="2"/>
  <c r="M25" i="2"/>
  <c r="M24" i="2"/>
  <c r="M23" i="2"/>
  <c r="M22" i="2"/>
  <c r="M21" i="2"/>
  <c r="M19" i="2"/>
  <c r="M18" i="2"/>
  <c r="M17" i="2"/>
  <c r="M16" i="2"/>
  <c r="M15" i="2"/>
  <c r="M14" i="2"/>
  <c r="M13" i="2"/>
  <c r="M12" i="2"/>
  <c r="M11" i="2"/>
  <c r="M10" i="2"/>
  <c r="M30" i="2"/>
  <c r="M40" i="2"/>
  <c r="M65" i="2"/>
  <c r="C65" i="2"/>
  <c r="C40" i="2"/>
  <c r="C20" i="2"/>
  <c r="G3" i="2" l="1"/>
  <c r="H3" i="2" s="1"/>
  <c r="I3" i="2" s="1"/>
  <c r="J3" i="2" s="1"/>
  <c r="O65" i="2"/>
  <c r="N65" i="2"/>
  <c r="O40" i="2"/>
  <c r="N40" i="2"/>
  <c r="O30" i="2"/>
  <c r="N30" i="2"/>
  <c r="E4" i="2"/>
  <c r="N75" i="2"/>
  <c r="O74" i="2"/>
  <c r="N74" i="2"/>
  <c r="N73" i="2"/>
  <c r="N72" i="2"/>
  <c r="N68" i="2"/>
  <c r="N66" i="2"/>
  <c r="N63" i="2"/>
  <c r="N62" i="2"/>
  <c r="N61" i="2"/>
  <c r="N60" i="2"/>
  <c r="N59" i="2"/>
  <c r="N58" i="2"/>
  <c r="N57" i="2"/>
  <c r="N56" i="2"/>
  <c r="N55" i="2"/>
  <c r="N54" i="2"/>
  <c r="N53" i="2"/>
  <c r="N52" i="2"/>
  <c r="N51" i="2"/>
  <c r="N50" i="2"/>
  <c r="N49" i="2"/>
  <c r="N48" i="2"/>
  <c r="N47" i="2"/>
  <c r="N46" i="2"/>
  <c r="N45" i="2"/>
  <c r="N44" i="2"/>
  <c r="N43" i="2"/>
  <c r="N42" i="2"/>
  <c r="N41" i="2"/>
  <c r="N36" i="2"/>
  <c r="N35" i="2"/>
  <c r="N34" i="2"/>
  <c r="N33" i="2"/>
  <c r="N32" i="2"/>
  <c r="N27" i="2"/>
  <c r="N26" i="2"/>
  <c r="N25" i="2"/>
  <c r="N24" i="2"/>
  <c r="N23" i="2"/>
  <c r="N22" i="2"/>
  <c r="N21" i="2"/>
  <c r="N19" i="2"/>
  <c r="N18" i="2"/>
  <c r="N17" i="2"/>
  <c r="N16" i="2"/>
  <c r="N15" i="2"/>
  <c r="N14" i="2"/>
  <c r="N13" i="2"/>
  <c r="N12" i="2"/>
  <c r="N11" i="2"/>
  <c r="N10" i="2"/>
  <c r="D76" i="2"/>
  <c r="D77" i="2"/>
  <c r="L77" i="2" s="1"/>
  <c r="D78" i="2"/>
  <c r="E38" i="2"/>
  <c r="M38" i="2" s="1"/>
  <c r="E37" i="2"/>
  <c r="M37" i="2" s="1"/>
  <c r="E20" i="2"/>
  <c r="M20" i="2" s="1"/>
  <c r="D20" i="2"/>
  <c r="L20" i="2" s="1"/>
  <c r="F8" i="2" l="1"/>
  <c r="N76" i="2"/>
  <c r="L76" i="2"/>
  <c r="N78" i="2"/>
  <c r="L78" i="2"/>
  <c r="F24" i="2"/>
  <c r="F19" i="2"/>
  <c r="F13" i="2"/>
  <c r="N20" i="2"/>
  <c r="F14" i="2"/>
  <c r="F15" i="2"/>
  <c r="F21" i="2"/>
  <c r="F22" i="2"/>
  <c r="F12" i="2"/>
  <c r="F77" i="2"/>
  <c r="F23" i="2"/>
  <c r="F28" i="2"/>
  <c r="F18" i="2"/>
  <c r="F16" i="2"/>
  <c r="F25" i="2"/>
  <c r="F17" i="2"/>
  <c r="F10" i="2"/>
  <c r="F27" i="2"/>
  <c r="F9" i="2"/>
  <c r="O9" i="2" s="1"/>
  <c r="F26" i="2"/>
  <c r="F11" i="2"/>
  <c r="N77" i="2"/>
  <c r="F78" i="2"/>
  <c r="F76" i="2"/>
  <c r="F31" i="2"/>
  <c r="F32" i="2"/>
  <c r="F33" i="2"/>
  <c r="F34" i="2"/>
  <c r="F35" i="2"/>
  <c r="F36" i="2"/>
  <c r="F41" i="2"/>
  <c r="O8" i="2" l="1"/>
  <c r="G8" i="2"/>
  <c r="O13" i="2"/>
  <c r="O11" i="2"/>
  <c r="O36" i="2"/>
  <c r="O15" i="2"/>
  <c r="O35" i="2"/>
  <c r="O18" i="2"/>
  <c r="O34" i="2"/>
  <c r="O32" i="2"/>
  <c r="O77" i="2"/>
  <c r="O31" i="2"/>
  <c r="O12" i="2"/>
  <c r="O76" i="2"/>
  <c r="O17" i="2"/>
  <c r="O22" i="2"/>
  <c r="O24" i="2"/>
  <c r="O16" i="2"/>
  <c r="O14" i="2"/>
  <c r="O26" i="2"/>
  <c r="O33" i="2"/>
  <c r="O23" i="2"/>
  <c r="O27" i="2"/>
  <c r="O19" i="2"/>
  <c r="O10" i="2"/>
  <c r="O78" i="2"/>
  <c r="O25" i="2"/>
  <c r="O21" i="2"/>
  <c r="O41" i="2"/>
  <c r="F20" i="2"/>
  <c r="O20" i="2" l="1"/>
  <c r="F54" i="4"/>
  <c r="G54" i="4"/>
  <c r="F57" i="4"/>
  <c r="G57" i="4"/>
  <c r="E57" i="4"/>
  <c r="E54" i="4"/>
  <c r="F72" i="5"/>
  <c r="G72" i="5"/>
  <c r="F75" i="5"/>
  <c r="G75" i="5"/>
  <c r="E75" i="5"/>
  <c r="E72" i="5"/>
  <c r="E67" i="5"/>
  <c r="E18" i="5"/>
  <c r="E14" i="5"/>
  <c r="E42" i="5" s="1"/>
  <c r="F11" i="1"/>
  <c r="F45" i="4"/>
  <c r="E49" i="4"/>
  <c r="E45" i="4"/>
  <c r="E42" i="4"/>
  <c r="E31" i="4"/>
  <c r="F72" i="2"/>
  <c r="F66" i="2"/>
  <c r="F63" i="2"/>
  <c r="F62" i="2"/>
  <c r="F61" i="2"/>
  <c r="F60" i="2"/>
  <c r="F59" i="2"/>
  <c r="F58" i="2"/>
  <c r="F57" i="2"/>
  <c r="F56" i="2"/>
  <c r="F55" i="2"/>
  <c r="F53" i="2"/>
  <c r="F52" i="2"/>
  <c r="F51" i="2"/>
  <c r="F50" i="2"/>
  <c r="F49" i="2"/>
  <c r="F48" i="2"/>
  <c r="F47" i="2"/>
  <c r="F46" i="2"/>
  <c r="F45" i="2"/>
  <c r="F44" i="2"/>
  <c r="F43" i="2"/>
  <c r="F42" i="2"/>
  <c r="E22" i="4"/>
  <c r="E21" i="4"/>
  <c r="E20" i="4"/>
  <c r="E17" i="4"/>
  <c r="E16" i="4"/>
  <c r="F37" i="2"/>
  <c r="F38" i="2"/>
  <c r="E19" i="1"/>
  <c r="D71" i="2"/>
  <c r="L71" i="2" s="1"/>
  <c r="D70" i="2"/>
  <c r="L70" i="2" s="1"/>
  <c r="D69" i="2"/>
  <c r="L69" i="2" s="1"/>
  <c r="D67" i="2"/>
  <c r="L67" i="2" s="1"/>
  <c r="D38" i="2"/>
  <c r="D37" i="2"/>
  <c r="D4" i="2"/>
  <c r="E72" i="1"/>
  <c r="E69" i="1"/>
  <c r="E64" i="1"/>
  <c r="E60" i="1"/>
  <c r="E57" i="1"/>
  <c r="E46" i="1"/>
  <c r="E34" i="1"/>
  <c r="E28" i="1"/>
  <c r="G11" i="1" l="1"/>
  <c r="G36" i="1" s="1"/>
  <c r="F36" i="1"/>
  <c r="N38" i="2"/>
  <c r="L38" i="2"/>
  <c r="N37" i="2"/>
  <c r="L37" i="2"/>
  <c r="O48" i="2"/>
  <c r="O57" i="2"/>
  <c r="O68" i="2"/>
  <c r="O58" i="2"/>
  <c r="O42" i="2"/>
  <c r="O50" i="2"/>
  <c r="O59" i="2"/>
  <c r="O75" i="2"/>
  <c r="O38" i="2"/>
  <c r="O43" i="2"/>
  <c r="O51" i="2"/>
  <c r="O60" i="2"/>
  <c r="O56" i="2"/>
  <c r="O37" i="2"/>
  <c r="O44" i="2"/>
  <c r="O52" i="2"/>
  <c r="O61" i="2"/>
  <c r="O47" i="2"/>
  <c r="O66" i="2"/>
  <c r="O72" i="2"/>
  <c r="O45" i="2"/>
  <c r="O53" i="2"/>
  <c r="O62" i="2"/>
  <c r="O49" i="2"/>
  <c r="O46" i="2"/>
  <c r="O55" i="2"/>
  <c r="O63" i="2"/>
  <c r="F67" i="2"/>
  <c r="N67" i="2"/>
  <c r="F70" i="2"/>
  <c r="N70" i="2"/>
  <c r="F69" i="2"/>
  <c r="N69" i="2"/>
  <c r="F71" i="2"/>
  <c r="N71" i="2"/>
  <c r="E36" i="5"/>
  <c r="F54" i="2"/>
  <c r="E31" i="1"/>
  <c r="E32" i="1"/>
  <c r="E27" i="1"/>
  <c r="E20" i="1"/>
  <c r="E21" i="1" s="1"/>
  <c r="E23" i="1"/>
  <c r="E29" i="1" s="1"/>
  <c r="E26" i="1"/>
  <c r="E38" i="5"/>
  <c r="E33" i="1"/>
  <c r="E35" i="5"/>
  <c r="E37" i="5"/>
  <c r="E27" i="4"/>
  <c r="E44" i="4"/>
  <c r="E47" i="4" s="1"/>
  <c r="E41" i="4"/>
  <c r="E48" i="4" s="1"/>
  <c r="E18" i="4"/>
  <c r="E31" i="5"/>
  <c r="E32" i="5"/>
  <c r="E30" i="5"/>
  <c r="E60" i="5"/>
  <c r="E63" i="5"/>
  <c r="E29" i="5"/>
  <c r="O54" i="2" l="1"/>
  <c r="O69" i="2"/>
  <c r="O67" i="2"/>
  <c r="O71" i="2"/>
  <c r="O70" i="2"/>
  <c r="E51" i="4"/>
  <c r="E33" i="4"/>
  <c r="E30" i="1"/>
  <c r="E25" i="1" s="1"/>
  <c r="E24" i="1" s="1"/>
  <c r="E39" i="1" s="1"/>
  <c r="E48" i="1" s="1"/>
  <c r="E55" i="4"/>
  <c r="F48" i="4"/>
  <c r="F55" i="4" s="1"/>
  <c r="E58" i="4"/>
  <c r="E44" i="5"/>
  <c r="G48" i="4"/>
  <c r="E52" i="4"/>
  <c r="E53" i="4" s="1"/>
  <c r="E33" i="5"/>
  <c r="E62" i="5"/>
  <c r="E65" i="5" s="1"/>
  <c r="E59" i="5"/>
  <c r="E66" i="5" s="1"/>
  <c r="E51" i="5" l="1"/>
  <c r="E56" i="1"/>
  <c r="E63" i="1" s="1"/>
  <c r="G63" i="1" s="1"/>
  <c r="E59" i="1"/>
  <c r="E62" i="1" s="1"/>
  <c r="E59" i="4"/>
  <c r="F58" i="4"/>
  <c r="E56" i="4"/>
  <c r="E69" i="5"/>
  <c r="E76" i="5"/>
  <c r="E73" i="5"/>
  <c r="E70" i="5"/>
  <c r="E71" i="5" s="1"/>
  <c r="G66" i="5"/>
  <c r="F66" i="5"/>
  <c r="E60" i="4" l="1"/>
  <c r="E61" i="4" s="1"/>
  <c r="E63" i="4" s="1"/>
  <c r="F63" i="1"/>
  <c r="E66" i="1"/>
  <c r="E67" i="1"/>
  <c r="E68" i="1" s="1"/>
  <c r="E77" i="5"/>
  <c r="E74" i="5"/>
  <c r="E70" i="1"/>
  <c r="E73" i="1"/>
  <c r="E78" i="5" l="1"/>
  <c r="E79" i="5" s="1"/>
  <c r="E81" i="5" s="1"/>
  <c r="E71" i="1"/>
  <c r="E74" i="1"/>
  <c r="E75" i="1" l="1"/>
  <c r="E76" i="1" s="1"/>
  <c r="E78" i="1" s="1"/>
  <c r="F64" i="1" l="1"/>
  <c r="H11" i="1"/>
  <c r="I11" i="1" s="1"/>
  <c r="J11" i="1" s="1"/>
  <c r="H89" i="2"/>
  <c r="F80" i="2"/>
  <c r="G74" i="2"/>
  <c r="H74" i="2" s="1"/>
  <c r="I74" i="2" s="1"/>
  <c r="J74" i="2" s="1"/>
  <c r="G73" i="2"/>
  <c r="H73" i="2" s="1"/>
  <c r="I73" i="2" s="1"/>
  <c r="J73" i="2" s="1"/>
  <c r="F65" i="2"/>
  <c r="F40" i="2"/>
  <c r="F30" i="2"/>
  <c r="F4" i="2"/>
  <c r="G21" i="22" s="1"/>
  <c r="G4" i="2"/>
  <c r="H21" i="22" s="1"/>
  <c r="F9" i="16"/>
  <c r="F10" i="16"/>
  <c r="F11" i="16"/>
  <c r="F8" i="16"/>
  <c r="E11" i="22"/>
  <c r="E26" i="22"/>
  <c r="G11" i="22"/>
  <c r="I89" i="2" l="1"/>
  <c r="H36" i="1"/>
  <c r="G67" i="2"/>
  <c r="H67" i="2" s="1"/>
  <c r="I67" i="2" s="1"/>
  <c r="J67" i="2" s="1"/>
  <c r="G32" i="2"/>
  <c r="H32" i="2" s="1"/>
  <c r="I32" i="2" s="1"/>
  <c r="J32" i="2" s="1"/>
  <c r="G66" i="2"/>
  <c r="H66" i="2" s="1"/>
  <c r="I66" i="2" s="1"/>
  <c r="J66" i="2" s="1"/>
  <c r="G68" i="2"/>
  <c r="H68" i="2" s="1"/>
  <c r="I68" i="2" s="1"/>
  <c r="J68" i="2" s="1"/>
  <c r="G43" i="2"/>
  <c r="H43" i="2" s="1"/>
  <c r="I43" i="2" s="1"/>
  <c r="J43" i="2" s="1"/>
  <c r="G59" i="2"/>
  <c r="G51" i="2"/>
  <c r="H51" i="2" s="1"/>
  <c r="I51" i="2" s="1"/>
  <c r="J51" i="2" s="1"/>
  <c r="G40" i="2"/>
  <c r="G30" i="2"/>
  <c r="G80" i="2"/>
  <c r="G65" i="2"/>
  <c r="G28" i="2"/>
  <c r="H28" i="2" s="1"/>
  <c r="I28" i="2" s="1"/>
  <c r="J28" i="2" s="1"/>
  <c r="F72" i="1"/>
  <c r="F69" i="1"/>
  <c r="G72" i="1"/>
  <c r="G69" i="1"/>
  <c r="J89" i="2" l="1"/>
  <c r="J36" i="1" s="1"/>
  <c r="I36" i="1"/>
  <c r="H59" i="2"/>
  <c r="H77" i="2" s="1"/>
  <c r="G77" i="2"/>
  <c r="G18" i="2"/>
  <c r="H18" i="2" s="1"/>
  <c r="I18" i="2" s="1"/>
  <c r="J18" i="2" s="1"/>
  <c r="G15" i="2"/>
  <c r="H15" i="2" s="1"/>
  <c r="I15" i="2" s="1"/>
  <c r="J15" i="2" s="1"/>
  <c r="G21" i="2"/>
  <c r="H21" i="2" s="1"/>
  <c r="I21" i="2" s="1"/>
  <c r="J21" i="2" s="1"/>
  <c r="G56" i="2"/>
  <c r="H56" i="2" s="1"/>
  <c r="I56" i="2" s="1"/>
  <c r="J56" i="2" s="1"/>
  <c r="G25" i="2"/>
  <c r="H25" i="2" s="1"/>
  <c r="I25" i="2" s="1"/>
  <c r="J25" i="2" s="1"/>
  <c r="G54" i="2"/>
  <c r="H54" i="2" s="1"/>
  <c r="I54" i="2" s="1"/>
  <c r="J54" i="2" s="1"/>
  <c r="G60" i="2"/>
  <c r="G78" i="2" s="1"/>
  <c r="G41" i="2"/>
  <c r="H41" i="2" s="1"/>
  <c r="I41" i="2" s="1"/>
  <c r="J41" i="2" s="1"/>
  <c r="G23" i="2"/>
  <c r="H40" i="2"/>
  <c r="H30" i="2"/>
  <c r="H4" i="2"/>
  <c r="I21" i="22" s="1"/>
  <c r="H65" i="2"/>
  <c r="H80" i="2"/>
  <c r="G36" i="2"/>
  <c r="H36" i="2" s="1"/>
  <c r="I36" i="2" s="1"/>
  <c r="J36" i="2" s="1"/>
  <c r="G52" i="2"/>
  <c r="H52" i="2" s="1"/>
  <c r="I52" i="2" s="1"/>
  <c r="J52" i="2" s="1"/>
  <c r="G14" i="2"/>
  <c r="H14" i="2" s="1"/>
  <c r="I14" i="2" s="1"/>
  <c r="J14" i="2" s="1"/>
  <c r="G47" i="2"/>
  <c r="H47" i="2" s="1"/>
  <c r="I47" i="2" s="1"/>
  <c r="J47" i="2" s="1"/>
  <c r="G35" i="2"/>
  <c r="H35" i="2" s="1"/>
  <c r="I35" i="2" s="1"/>
  <c r="J35" i="2" s="1"/>
  <c r="G69" i="2"/>
  <c r="H69" i="2" s="1"/>
  <c r="I69" i="2" s="1"/>
  <c r="J69" i="2" s="1"/>
  <c r="G49" i="2"/>
  <c r="H49" i="2" s="1"/>
  <c r="I49" i="2" s="1"/>
  <c r="J49" i="2" s="1"/>
  <c r="G27" i="2"/>
  <c r="H27" i="2" s="1"/>
  <c r="I27" i="2" s="1"/>
  <c r="J27" i="2" s="1"/>
  <c r="G44" i="2"/>
  <c r="H44" i="2" s="1"/>
  <c r="I44" i="2" s="1"/>
  <c r="J44" i="2" s="1"/>
  <c r="G33" i="2"/>
  <c r="H33" i="2" s="1"/>
  <c r="I33" i="2" s="1"/>
  <c r="J33" i="2" s="1"/>
  <c r="G17" i="2"/>
  <c r="H17" i="2" s="1"/>
  <c r="I17" i="2" s="1"/>
  <c r="J17" i="2" s="1"/>
  <c r="G42" i="2"/>
  <c r="H42" i="2" s="1"/>
  <c r="I42" i="2" s="1"/>
  <c r="J42" i="2" s="1"/>
  <c r="G45" i="2"/>
  <c r="H45" i="2" s="1"/>
  <c r="I45" i="2" s="1"/>
  <c r="J45" i="2" s="1"/>
  <c r="G70" i="2"/>
  <c r="H70" i="2" s="1"/>
  <c r="I70" i="2" s="1"/>
  <c r="J70" i="2" s="1"/>
  <c r="G10" i="2"/>
  <c r="H10" i="2" s="1"/>
  <c r="I10" i="2" s="1"/>
  <c r="J10" i="2" s="1"/>
  <c r="G53" i="2"/>
  <c r="H53" i="2" s="1"/>
  <c r="I53" i="2" s="1"/>
  <c r="J53" i="2" s="1"/>
  <c r="G16" i="2"/>
  <c r="H16" i="2" s="1"/>
  <c r="I16" i="2" s="1"/>
  <c r="J16" i="2" s="1"/>
  <c r="G12" i="2"/>
  <c r="H12" i="2" s="1"/>
  <c r="I12" i="2" s="1"/>
  <c r="J12" i="2" s="1"/>
  <c r="G58" i="2"/>
  <c r="G76" i="2" s="1"/>
  <c r="G9" i="2"/>
  <c r="H9" i="2" s="1"/>
  <c r="I9" i="2" s="1"/>
  <c r="J9" i="2" s="1"/>
  <c r="G48" i="2"/>
  <c r="H48" i="2" s="1"/>
  <c r="I48" i="2" s="1"/>
  <c r="J48" i="2" s="1"/>
  <c r="G75" i="2"/>
  <c r="H75" i="2" s="1"/>
  <c r="I75" i="2" s="1"/>
  <c r="J75" i="2" s="1"/>
  <c r="G46" i="2"/>
  <c r="H46" i="2" s="1"/>
  <c r="I46" i="2" s="1"/>
  <c r="J46" i="2" s="1"/>
  <c r="G31" i="2"/>
  <c r="H31" i="2" s="1"/>
  <c r="I31" i="2" s="1"/>
  <c r="J31" i="2" s="1"/>
  <c r="G22" i="2"/>
  <c r="G55" i="2"/>
  <c r="H55" i="2" s="1"/>
  <c r="I55" i="2" s="1"/>
  <c r="J55" i="2" s="1"/>
  <c r="G57" i="2"/>
  <c r="H57" i="2" s="1"/>
  <c r="I57" i="2" s="1"/>
  <c r="J57" i="2" s="1"/>
  <c r="G63" i="2"/>
  <c r="H63" i="2" s="1"/>
  <c r="I63" i="2" s="1"/>
  <c r="J63" i="2" s="1"/>
  <c r="G71" i="2"/>
  <c r="H71" i="2" s="1"/>
  <c r="I71" i="2" s="1"/>
  <c r="J71" i="2" s="1"/>
  <c r="G11" i="2"/>
  <c r="H11" i="2" s="1"/>
  <c r="I11" i="2" s="1"/>
  <c r="J11" i="2" s="1"/>
  <c r="G61" i="2"/>
  <c r="H61" i="2" s="1"/>
  <c r="I61" i="2" s="1"/>
  <c r="J61" i="2" s="1"/>
  <c r="G24" i="2"/>
  <c r="H24" i="2" s="1"/>
  <c r="I24" i="2" s="1"/>
  <c r="J24" i="2" s="1"/>
  <c r="G72" i="2"/>
  <c r="H72" i="2" s="1"/>
  <c r="I72" i="2" s="1"/>
  <c r="J72" i="2" s="1"/>
  <c r="G19" i="2"/>
  <c r="H19" i="2" s="1"/>
  <c r="I19" i="2" s="1"/>
  <c r="J19" i="2" s="1"/>
  <c r="G62" i="2"/>
  <c r="H62" i="2" s="1"/>
  <c r="I62" i="2" s="1"/>
  <c r="J62" i="2" s="1"/>
  <c r="G26" i="2"/>
  <c r="H26" i="2" s="1"/>
  <c r="I26" i="2" s="1"/>
  <c r="J26" i="2" s="1"/>
  <c r="G34" i="2"/>
  <c r="H34" i="2" s="1"/>
  <c r="I34" i="2" s="1"/>
  <c r="J34" i="2" s="1"/>
  <c r="G13" i="2"/>
  <c r="H13" i="2" s="1"/>
  <c r="I13" i="2" s="1"/>
  <c r="J13" i="2" s="1"/>
  <c r="G50" i="2"/>
  <c r="H50" i="2" s="1"/>
  <c r="I50" i="2" s="1"/>
  <c r="J50" i="2" s="1"/>
  <c r="G60" i="1"/>
  <c r="F60" i="1"/>
  <c r="G16" i="1"/>
  <c r="H16" i="1" s="1"/>
  <c r="I16" i="1" s="1"/>
  <c r="J16" i="1" s="1"/>
  <c r="G15" i="1"/>
  <c r="H15" i="1" s="1"/>
  <c r="I15" i="1" s="1"/>
  <c r="J15" i="1" s="1"/>
  <c r="G14" i="1"/>
  <c r="H14" i="1" s="1"/>
  <c r="I14" i="1" s="1"/>
  <c r="J14" i="1" s="1"/>
  <c r="G13" i="1"/>
  <c r="H13" i="1" s="1"/>
  <c r="I13" i="1" s="1"/>
  <c r="J13" i="1" s="1"/>
  <c r="G12" i="1"/>
  <c r="H12" i="1" s="1"/>
  <c r="I12" i="1" s="1"/>
  <c r="J12" i="1" s="1"/>
  <c r="I59" i="2" l="1"/>
  <c r="I77" i="2" s="1"/>
  <c r="H22" i="2"/>
  <c r="G37" i="2"/>
  <c r="H23" i="2"/>
  <c r="G38" i="2"/>
  <c r="I40" i="2"/>
  <c r="I30" i="2"/>
  <c r="I4" i="2"/>
  <c r="J21" i="22" s="1"/>
  <c r="I80" i="2"/>
  <c r="I65" i="2"/>
  <c r="H60" i="2"/>
  <c r="H78" i="2" s="1"/>
  <c r="H58" i="2"/>
  <c r="H76" i="2" s="1"/>
  <c r="H16" i="22"/>
  <c r="I16" i="22" s="1"/>
  <c r="J16" i="22" s="1"/>
  <c r="K16" i="22" s="1"/>
  <c r="H12" i="22"/>
  <c r="I12" i="22" s="1"/>
  <c r="G17" i="22"/>
  <c r="G38" i="22"/>
  <c r="F26" i="1"/>
  <c r="F28" i="1"/>
  <c r="F27" i="1"/>
  <c r="J59" i="2" l="1"/>
  <c r="J77" i="2" s="1"/>
  <c r="I22" i="2"/>
  <c r="H37" i="2"/>
  <c r="I23" i="2"/>
  <c r="H38" i="2"/>
  <c r="J80" i="2"/>
  <c r="J65" i="2"/>
  <c r="J40" i="2"/>
  <c r="J4" i="2"/>
  <c r="K21" i="22" s="1"/>
  <c r="J30" i="2"/>
  <c r="I58" i="2"/>
  <c r="I76" i="2" s="1"/>
  <c r="I60" i="2"/>
  <c r="I78" i="2" s="1"/>
  <c r="H17" i="22"/>
  <c r="J12" i="22"/>
  <c r="I17" i="22"/>
  <c r="G36" i="22"/>
  <c r="J23" i="2" l="1"/>
  <c r="J38" i="2" s="1"/>
  <c r="I38" i="2"/>
  <c r="J22" i="2"/>
  <c r="J37" i="2" s="1"/>
  <c r="I37" i="2"/>
  <c r="J58" i="2"/>
  <c r="J76" i="2" s="1"/>
  <c r="J60" i="2"/>
  <c r="J78" i="2" s="1"/>
  <c r="J17" i="22"/>
  <c r="K12" i="22"/>
  <c r="K17" i="22" s="1"/>
  <c r="G37" i="22"/>
  <c r="E27" i="22" l="1"/>
  <c r="G18" i="22"/>
  <c r="G29" i="22" s="1"/>
  <c r="G30" i="22" l="1"/>
  <c r="G31" i="22"/>
  <c r="G32" i="22"/>
  <c r="G42" i="22" s="1"/>
  <c r="H24" i="22"/>
  <c r="I24" i="22" s="1"/>
  <c r="J24" i="22" s="1"/>
  <c r="K24" i="22" s="1"/>
  <c r="H23" i="22"/>
  <c r="H22" i="22"/>
  <c r="H14" i="22"/>
  <c r="H13" i="22"/>
  <c r="G8" i="22"/>
  <c r="H11" i="22" l="1"/>
  <c r="G41" i="22"/>
  <c r="G40" i="22" s="1"/>
  <c r="H18" i="22"/>
  <c r="I23" i="22"/>
  <c r="I13" i="22"/>
  <c r="I14" i="22"/>
  <c r="G33" i="22"/>
  <c r="I22" i="22"/>
  <c r="F20" i="1"/>
  <c r="I11" i="22" l="1"/>
  <c r="I36" i="22"/>
  <c r="I37" i="22"/>
  <c r="H36" i="22"/>
  <c r="H29" i="22"/>
  <c r="H30" i="22"/>
  <c r="H31" i="22"/>
  <c r="I18" i="22"/>
  <c r="H37" i="22"/>
  <c r="J23" i="22"/>
  <c r="J14" i="22"/>
  <c r="J13" i="22"/>
  <c r="J36" i="22" s="1"/>
  <c r="J22" i="22"/>
  <c r="G20" i="5"/>
  <c r="H20" i="5" s="1"/>
  <c r="I20" i="5" s="1"/>
  <c r="J20" i="5" s="1"/>
  <c r="G21" i="5"/>
  <c r="H21" i="5" s="1"/>
  <c r="I21" i="5" s="1"/>
  <c r="J21" i="5" s="1"/>
  <c r="G22" i="5"/>
  <c r="H22" i="5" s="1"/>
  <c r="I22" i="5" s="1"/>
  <c r="J22" i="5" s="1"/>
  <c r="G23" i="5"/>
  <c r="H23" i="5" s="1"/>
  <c r="I23" i="5" s="1"/>
  <c r="J23" i="5" s="1"/>
  <c r="G24" i="5"/>
  <c r="H24" i="5" s="1"/>
  <c r="I24" i="5" s="1"/>
  <c r="J24" i="5" s="1"/>
  <c r="G25" i="5"/>
  <c r="H25" i="5" s="1"/>
  <c r="I25" i="5" s="1"/>
  <c r="J25" i="5" s="1"/>
  <c r="G26" i="5"/>
  <c r="H26" i="5" s="1"/>
  <c r="I26" i="5" s="1"/>
  <c r="J26" i="5" s="1"/>
  <c r="G19" i="5"/>
  <c r="H19" i="5" s="1"/>
  <c r="I19" i="5" s="1"/>
  <c r="G16" i="5"/>
  <c r="H16" i="5" s="1"/>
  <c r="I16" i="5" s="1"/>
  <c r="J16" i="5" s="1"/>
  <c r="G17" i="5"/>
  <c r="H17" i="5" s="1"/>
  <c r="I17" i="5" s="1"/>
  <c r="J17" i="5" s="1"/>
  <c r="G15" i="5"/>
  <c r="H15" i="5" s="1"/>
  <c r="I15" i="5" s="1"/>
  <c r="J15" i="5" s="1"/>
  <c r="G12" i="5"/>
  <c r="H12" i="5" s="1"/>
  <c r="I12" i="5" s="1"/>
  <c r="J12" i="5" s="1"/>
  <c r="G13" i="5"/>
  <c r="H13" i="5" s="1"/>
  <c r="I13" i="5" s="1"/>
  <c r="J13" i="5" s="1"/>
  <c r="G11" i="5"/>
  <c r="H11" i="5" s="1"/>
  <c r="I11" i="5" s="1"/>
  <c r="J11" i="5" s="1"/>
  <c r="J37" i="22" l="1"/>
  <c r="J11" i="22"/>
  <c r="H41" i="22"/>
  <c r="I29" i="22"/>
  <c r="I31" i="22"/>
  <c r="I30" i="22"/>
  <c r="K23" i="22"/>
  <c r="J18" i="22"/>
  <c r="K14" i="22"/>
  <c r="K13" i="22"/>
  <c r="K36" i="22" s="1"/>
  <c r="K22" i="22"/>
  <c r="J19" i="5"/>
  <c r="K37" i="22" l="1"/>
  <c r="K11" i="22"/>
  <c r="I41" i="22"/>
  <c r="J29" i="22"/>
  <c r="J30" i="22"/>
  <c r="J31" i="22"/>
  <c r="K18" i="22"/>
  <c r="G36" i="5"/>
  <c r="G35" i="5"/>
  <c r="G37" i="5"/>
  <c r="F35" i="5"/>
  <c r="K29" i="22" l="1"/>
  <c r="K31" i="22"/>
  <c r="K30" i="22"/>
  <c r="J41" i="22"/>
  <c r="H36" i="5"/>
  <c r="F70" i="11"/>
  <c r="F62" i="11"/>
  <c r="G13" i="4"/>
  <c r="G12" i="4"/>
  <c r="G11" i="4"/>
  <c r="G45" i="4" s="1"/>
  <c r="G27" i="1"/>
  <c r="F34" i="11"/>
  <c r="E16" i="11"/>
  <c r="E12" i="11"/>
  <c r="G55" i="4" l="1"/>
  <c r="G58" i="4"/>
  <c r="G38" i="1"/>
  <c r="K41" i="22"/>
  <c r="E18" i="11"/>
  <c r="F18" i="11" s="1"/>
  <c r="E19" i="11"/>
  <c r="F19" i="11" s="1"/>
  <c r="H28" i="1"/>
  <c r="G28" i="1"/>
  <c r="G26" i="1"/>
  <c r="H27" i="1"/>
  <c r="J36" i="5"/>
  <c r="I36" i="5"/>
  <c r="F20" i="11" l="1"/>
  <c r="H38" i="1"/>
  <c r="H26" i="1"/>
  <c r="F16" i="11"/>
  <c r="G26" i="4"/>
  <c r="F33" i="1"/>
  <c r="F32" i="1"/>
  <c r="J38" i="1" l="1"/>
  <c r="I38" i="1"/>
  <c r="E32" i="11"/>
  <c r="E28" i="11"/>
  <c r="F26" i="11" s="1"/>
  <c r="E24" i="11"/>
  <c r="F23" i="11" s="1"/>
  <c r="F22" i="11" l="1"/>
  <c r="F27" i="11"/>
  <c r="F30" i="11"/>
  <c r="F31" i="11"/>
  <c r="F24" i="11" l="1"/>
  <c r="F28" i="11"/>
  <c r="F32" i="11"/>
  <c r="F36" i="11" l="1"/>
  <c r="E21" i="8"/>
  <c r="E20" i="8"/>
  <c r="F34" i="1" l="1"/>
  <c r="F31" i="4"/>
  <c r="F49" i="5"/>
  <c r="E22" i="8"/>
  <c r="E32" i="8" s="1"/>
  <c r="F8" i="17"/>
  <c r="J49" i="5"/>
  <c r="I28" i="1"/>
  <c r="I27" i="1"/>
  <c r="F53" i="11"/>
  <c r="F46" i="1"/>
  <c r="F31" i="1"/>
  <c r="G67" i="5"/>
  <c r="F67" i="5"/>
  <c r="G49" i="4"/>
  <c r="F49" i="4"/>
  <c r="G64" i="1"/>
  <c r="F20" i="4"/>
  <c r="F16" i="17"/>
  <c r="F15" i="17"/>
  <c r="E17" i="17"/>
  <c r="F17" i="17" s="1"/>
  <c r="E12" i="17"/>
  <c r="E5" i="17"/>
  <c r="F13" i="16"/>
  <c r="E8" i="12"/>
  <c r="F21" i="12" s="1"/>
  <c r="E5" i="16"/>
  <c r="F108" i="11"/>
  <c r="F112" i="11"/>
  <c r="F111" i="11"/>
  <c r="F110" i="11"/>
  <c r="F109" i="11"/>
  <c r="F107" i="11"/>
  <c r="F106" i="11"/>
  <c r="F105" i="11"/>
  <c r="F104" i="11"/>
  <c r="F103" i="11"/>
  <c r="F102" i="11"/>
  <c r="F87" i="11"/>
  <c r="F86" i="11"/>
  <c r="F85" i="11"/>
  <c r="F84" i="11"/>
  <c r="F83" i="11"/>
  <c r="F88" i="11"/>
  <c r="F91" i="11"/>
  <c r="F90" i="11"/>
  <c r="F92" i="11"/>
  <c r="F89" i="11"/>
  <c r="F82" i="11"/>
  <c r="F72" i="11"/>
  <c r="F71" i="11"/>
  <c r="F69" i="11"/>
  <c r="F68" i="11"/>
  <c r="F67" i="11"/>
  <c r="F66" i="11"/>
  <c r="F65" i="11"/>
  <c r="F64" i="11"/>
  <c r="F63" i="11"/>
  <c r="E77" i="11"/>
  <c r="E97" i="11"/>
  <c r="C24" i="12"/>
  <c r="C7" i="12"/>
  <c r="E5" i="12"/>
  <c r="B2" i="12"/>
  <c r="E57" i="11"/>
  <c r="E51" i="11"/>
  <c r="F45" i="11"/>
  <c r="F44" i="11"/>
  <c r="F43" i="11"/>
  <c r="F42" i="11"/>
  <c r="E40" i="11"/>
  <c r="E5" i="11"/>
  <c r="F22" i="4"/>
  <c r="F13" i="8"/>
  <c r="I26" i="1" l="1"/>
  <c r="E26" i="8"/>
  <c r="E30" i="8" s="1"/>
  <c r="E27" i="8"/>
  <c r="E31" i="8" s="1"/>
  <c r="F18" i="17"/>
  <c r="G13" i="8"/>
  <c r="F22" i="8"/>
  <c r="F32" i="8" s="1"/>
  <c r="F19" i="12"/>
  <c r="F18" i="12"/>
  <c r="F13" i="12"/>
  <c r="F11" i="12"/>
  <c r="F12" i="12"/>
  <c r="F22" i="12"/>
  <c r="F15" i="12"/>
  <c r="F16" i="12"/>
  <c r="F20" i="12"/>
  <c r="F14" i="12"/>
  <c r="F17" i="12"/>
  <c r="F15" i="16"/>
  <c r="F113" i="11"/>
  <c r="F93" i="11"/>
  <c r="F73" i="11"/>
  <c r="F46" i="11"/>
  <c r="E29" i="8" l="1"/>
  <c r="H13" i="8"/>
  <c r="G22" i="8"/>
  <c r="G32" i="8" s="1"/>
  <c r="F24" i="12"/>
  <c r="I13" i="8" l="1"/>
  <c r="I22" i="8" s="1"/>
  <c r="I32" i="8" s="1"/>
  <c r="H22" i="8"/>
  <c r="H32" i="8" s="1"/>
  <c r="E23" i="8"/>
  <c r="F37" i="5" l="1"/>
  <c r="F38" i="5"/>
  <c r="E9" i="8"/>
  <c r="F9" i="5"/>
  <c r="F9" i="4"/>
  <c r="F9" i="1"/>
  <c r="H8" i="22"/>
  <c r="J46" i="1"/>
  <c r="I46" i="1"/>
  <c r="H46" i="1"/>
  <c r="G46" i="1"/>
  <c r="F14" i="8"/>
  <c r="F12" i="8"/>
  <c r="G12" i="8" s="1"/>
  <c r="H12" i="8" s="1"/>
  <c r="I12" i="8" s="1"/>
  <c r="F11" i="8"/>
  <c r="F17" i="4"/>
  <c r="F23" i="1"/>
  <c r="F17" i="8"/>
  <c r="G17" i="8" s="1"/>
  <c r="H17" i="8" s="1"/>
  <c r="I17" i="8" s="1"/>
  <c r="F16" i="8"/>
  <c r="G16" i="8" s="1"/>
  <c r="H16" i="8" s="1"/>
  <c r="I16" i="8" s="1"/>
  <c r="F15" i="8"/>
  <c r="E8" i="8"/>
  <c r="F18" i="5"/>
  <c r="F32" i="5" s="1"/>
  <c r="F14" i="5"/>
  <c r="F8" i="5"/>
  <c r="G31" i="4"/>
  <c r="H12" i="4"/>
  <c r="I12" i="4" s="1"/>
  <c r="J12" i="4" s="1"/>
  <c r="F21" i="4"/>
  <c r="F27" i="4" s="1"/>
  <c r="F16" i="4"/>
  <c r="F8" i="4"/>
  <c r="F8" i="1"/>
  <c r="F63" i="5" l="1"/>
  <c r="F73" i="5" s="1"/>
  <c r="F42" i="5"/>
  <c r="F44" i="4"/>
  <c r="F47" i="4" s="1"/>
  <c r="F29" i="1"/>
  <c r="F30" i="1" s="1"/>
  <c r="H32" i="22"/>
  <c r="J27" i="1"/>
  <c r="H35" i="5"/>
  <c r="I37" i="5"/>
  <c r="H37" i="5"/>
  <c r="I33" i="1"/>
  <c r="H34" i="1"/>
  <c r="G34" i="1"/>
  <c r="F26" i="8"/>
  <c r="H21" i="4"/>
  <c r="H38" i="22"/>
  <c r="G14" i="8"/>
  <c r="G11" i="8"/>
  <c r="F21" i="8"/>
  <c r="F20" i="8"/>
  <c r="H13" i="4"/>
  <c r="I13" i="4" s="1"/>
  <c r="J13" i="4" s="1"/>
  <c r="J20" i="4" s="1"/>
  <c r="G20" i="4"/>
  <c r="G31" i="1"/>
  <c r="H11" i="4"/>
  <c r="H26" i="4" s="1"/>
  <c r="I8" i="22"/>
  <c r="G33" i="1"/>
  <c r="H33" i="1"/>
  <c r="G17" i="4"/>
  <c r="G20" i="1"/>
  <c r="G23" i="1"/>
  <c r="G49" i="5"/>
  <c r="F8" i="8"/>
  <c r="G15" i="8"/>
  <c r="H49" i="5"/>
  <c r="I49" i="5"/>
  <c r="G38" i="5"/>
  <c r="F30" i="5"/>
  <c r="F29" i="5"/>
  <c r="F36" i="5"/>
  <c r="F31" i="5"/>
  <c r="H18" i="5"/>
  <c r="G18" i="5"/>
  <c r="G14" i="5"/>
  <c r="H14" i="5"/>
  <c r="G21" i="4"/>
  <c r="G22" i="4"/>
  <c r="G8" i="5"/>
  <c r="G32" i="1"/>
  <c r="G8" i="4"/>
  <c r="F18" i="4"/>
  <c r="F33" i="4" s="1"/>
  <c r="G8" i="1"/>
  <c r="F76" i="5" l="1"/>
  <c r="G63" i="5"/>
  <c r="G73" i="5" s="1"/>
  <c r="F62" i="5"/>
  <c r="F65" i="5" s="1"/>
  <c r="F51" i="4"/>
  <c r="F52" i="4"/>
  <c r="F53" i="4" s="1"/>
  <c r="F30" i="8"/>
  <c r="H33" i="22"/>
  <c r="H42" i="22"/>
  <c r="H40" i="22" s="1"/>
  <c r="I32" i="22"/>
  <c r="F44" i="5"/>
  <c r="J35" i="5"/>
  <c r="I35" i="5"/>
  <c r="G43" i="5"/>
  <c r="G44" i="5" s="1"/>
  <c r="H43" i="5"/>
  <c r="J37" i="5"/>
  <c r="I14" i="5"/>
  <c r="I20" i="1"/>
  <c r="H23" i="1"/>
  <c r="H29" i="1" s="1"/>
  <c r="H38" i="5"/>
  <c r="I23" i="1"/>
  <c r="I29" i="1" s="1"/>
  <c r="F25" i="1"/>
  <c r="I34" i="1"/>
  <c r="G16" i="4"/>
  <c r="F27" i="8"/>
  <c r="F31" i="8" s="1"/>
  <c r="I38" i="22"/>
  <c r="G26" i="8"/>
  <c r="H22" i="4"/>
  <c r="H14" i="8"/>
  <c r="H11" i="8"/>
  <c r="G20" i="8"/>
  <c r="G21" i="8"/>
  <c r="G27" i="4"/>
  <c r="I20" i="4"/>
  <c r="H20" i="4"/>
  <c r="H31" i="1"/>
  <c r="F33" i="5"/>
  <c r="F23" i="8"/>
  <c r="H16" i="4"/>
  <c r="H29" i="5"/>
  <c r="I11" i="4"/>
  <c r="I26" i="4" s="1"/>
  <c r="H17" i="4"/>
  <c r="F9" i="8"/>
  <c r="G9" i="5"/>
  <c r="G9" i="4"/>
  <c r="G9" i="1"/>
  <c r="H8" i="1"/>
  <c r="H8" i="5"/>
  <c r="G8" i="8"/>
  <c r="H20" i="1"/>
  <c r="G29" i="1"/>
  <c r="G30" i="1" s="1"/>
  <c r="G25" i="1" s="1"/>
  <c r="H8" i="4"/>
  <c r="J8" i="22"/>
  <c r="H15" i="8"/>
  <c r="J14" i="5"/>
  <c r="H31" i="5"/>
  <c r="I31" i="5"/>
  <c r="H30" i="5"/>
  <c r="H32" i="5"/>
  <c r="G30" i="5"/>
  <c r="G32" i="5"/>
  <c r="G29" i="5"/>
  <c r="G31" i="5"/>
  <c r="I18" i="5"/>
  <c r="J20" i="1"/>
  <c r="H31" i="4"/>
  <c r="H32" i="1"/>
  <c r="I31" i="1"/>
  <c r="J33" i="1"/>
  <c r="G76" i="5" l="1"/>
  <c r="G62" i="5"/>
  <c r="G65" i="5" s="1"/>
  <c r="F70" i="5"/>
  <c r="F71" i="5" s="1"/>
  <c r="F69" i="5"/>
  <c r="G44" i="4"/>
  <c r="G47" i="4" s="1"/>
  <c r="F56" i="4"/>
  <c r="F59" i="4"/>
  <c r="F29" i="8"/>
  <c r="G30" i="8"/>
  <c r="I33" i="22"/>
  <c r="I42" i="22"/>
  <c r="I40" i="22" s="1"/>
  <c r="J32" i="22"/>
  <c r="F51" i="5"/>
  <c r="I43" i="5"/>
  <c r="H44" i="5"/>
  <c r="G18" i="4"/>
  <c r="G33" i="4" s="1"/>
  <c r="G27" i="8"/>
  <c r="G31" i="8" s="1"/>
  <c r="H27" i="4"/>
  <c r="G23" i="8"/>
  <c r="I21" i="4"/>
  <c r="H26" i="8"/>
  <c r="J38" i="22"/>
  <c r="I38" i="5"/>
  <c r="I14" i="8"/>
  <c r="I11" i="8"/>
  <c r="H21" i="8"/>
  <c r="H20" i="8"/>
  <c r="I29" i="5"/>
  <c r="I8" i="5"/>
  <c r="H30" i="1"/>
  <c r="H25" i="1" s="1"/>
  <c r="J34" i="1"/>
  <c r="I16" i="4"/>
  <c r="J11" i="4"/>
  <c r="J26" i="4" s="1"/>
  <c r="I17" i="4"/>
  <c r="I22" i="4"/>
  <c r="H9" i="5"/>
  <c r="H9" i="4"/>
  <c r="H9" i="1"/>
  <c r="G9" i="8"/>
  <c r="H18" i="4"/>
  <c r="I8" i="1"/>
  <c r="I8" i="4"/>
  <c r="H8" i="8"/>
  <c r="K8" i="22"/>
  <c r="I15" i="8"/>
  <c r="G33" i="5"/>
  <c r="G51" i="5" s="1"/>
  <c r="J31" i="5"/>
  <c r="I30" i="5"/>
  <c r="I32" i="5"/>
  <c r="H33" i="5"/>
  <c r="J18" i="5"/>
  <c r="J43" i="5" s="1"/>
  <c r="J31" i="4"/>
  <c r="I31" i="4"/>
  <c r="I30" i="1"/>
  <c r="I32" i="1"/>
  <c r="F60" i="4" l="1"/>
  <c r="G52" i="4"/>
  <c r="G53" i="4" s="1"/>
  <c r="G51" i="4"/>
  <c r="F77" i="5"/>
  <c r="F74" i="5"/>
  <c r="G70" i="5"/>
  <c r="G71" i="5" s="1"/>
  <c r="G69" i="5"/>
  <c r="G29" i="8"/>
  <c r="H30" i="8"/>
  <c r="J33" i="22"/>
  <c r="J42" i="22"/>
  <c r="J40" i="22" s="1"/>
  <c r="K38" i="22"/>
  <c r="K32" i="22"/>
  <c r="J28" i="1"/>
  <c r="J26" i="1"/>
  <c r="J23" i="1"/>
  <c r="J29" i="1" s="1"/>
  <c r="H51" i="5"/>
  <c r="I26" i="8"/>
  <c r="H27" i="8"/>
  <c r="H31" i="8" s="1"/>
  <c r="I44" i="5"/>
  <c r="H33" i="4"/>
  <c r="J21" i="4"/>
  <c r="I27" i="8"/>
  <c r="J38" i="5"/>
  <c r="I27" i="4"/>
  <c r="H23" i="8"/>
  <c r="I20" i="8"/>
  <c r="I21" i="8"/>
  <c r="J16" i="4"/>
  <c r="J31" i="1"/>
  <c r="J29" i="5"/>
  <c r="I18" i="4"/>
  <c r="J17" i="4"/>
  <c r="J22" i="4"/>
  <c r="I9" i="4"/>
  <c r="H9" i="8"/>
  <c r="I9" i="1"/>
  <c r="I9" i="5"/>
  <c r="J8" i="4"/>
  <c r="J8" i="5"/>
  <c r="J8" i="1"/>
  <c r="I8" i="8"/>
  <c r="I33" i="5"/>
  <c r="J30" i="5"/>
  <c r="J32" i="5"/>
  <c r="J32" i="1"/>
  <c r="I25" i="1"/>
  <c r="G74" i="5" l="1"/>
  <c r="G77" i="5"/>
  <c r="F78" i="5"/>
  <c r="F79" i="5" s="1"/>
  <c r="G59" i="4"/>
  <c r="G56" i="4"/>
  <c r="I30" i="8"/>
  <c r="H29" i="8"/>
  <c r="I31" i="8"/>
  <c r="F73" i="1"/>
  <c r="F70" i="1"/>
  <c r="K33" i="22"/>
  <c r="K42" i="22"/>
  <c r="K40" i="22" s="1"/>
  <c r="J30" i="1"/>
  <c r="J25" i="1" s="1"/>
  <c r="I51" i="5"/>
  <c r="I81" i="5" s="1"/>
  <c r="J44" i="5"/>
  <c r="J27" i="4"/>
  <c r="I33" i="4"/>
  <c r="I63" i="4" s="1"/>
  <c r="I23" i="8"/>
  <c r="J18" i="4"/>
  <c r="J9" i="1"/>
  <c r="I9" i="8"/>
  <c r="J9" i="5"/>
  <c r="J9" i="4"/>
  <c r="J33" i="5"/>
  <c r="G78" i="5" l="1"/>
  <c r="G79" i="5" s="1"/>
  <c r="G60" i="4"/>
  <c r="I29" i="8"/>
  <c r="G73" i="1"/>
  <c r="G70" i="1"/>
  <c r="J33" i="4"/>
  <c r="J63" i="4" s="1"/>
  <c r="J51" i="5"/>
  <c r="J81" i="5" s="1"/>
  <c r="F81" i="5"/>
  <c r="H81" i="5"/>
  <c r="G81" i="5" l="1"/>
  <c r="G61" i="4" l="1"/>
  <c r="G63" i="4" s="1"/>
  <c r="H63" i="4"/>
  <c r="F61" i="4" l="1"/>
  <c r="F63" i="4" s="1"/>
  <c r="F19" i="1" l="1"/>
  <c r="F21" i="1" s="1"/>
  <c r="H8" i="2" l="1"/>
  <c r="H20" i="2" s="1"/>
  <c r="G20" i="2"/>
  <c r="F24" i="1"/>
  <c r="F39" i="1" s="1"/>
  <c r="F48" i="1" s="1"/>
  <c r="G19" i="1"/>
  <c r="H19" i="1" l="1"/>
  <c r="H21" i="1" s="1"/>
  <c r="I8" i="2"/>
  <c r="I20" i="2" s="1"/>
  <c r="F59" i="1"/>
  <c r="F62" i="1" s="1"/>
  <c r="F67" i="1" s="1"/>
  <c r="F68" i="1" s="1"/>
  <c r="G24" i="1"/>
  <c r="G39" i="1" s="1"/>
  <c r="G21" i="1"/>
  <c r="I19" i="1" l="1"/>
  <c r="I24" i="1" s="1"/>
  <c r="I39" i="1" s="1"/>
  <c r="J8" i="2"/>
  <c r="J19" i="1" s="1"/>
  <c r="J21" i="1" s="1"/>
  <c r="H24" i="1"/>
  <c r="H39" i="1" s="1"/>
  <c r="H48" i="1" s="1"/>
  <c r="H78" i="1" s="1"/>
  <c r="G59" i="1"/>
  <c r="G62" i="1" s="1"/>
  <c r="F66" i="1"/>
  <c r="F71" i="1"/>
  <c r="F74" i="1"/>
  <c r="G48" i="1"/>
  <c r="J20" i="2" l="1"/>
  <c r="I21" i="1"/>
  <c r="I48" i="1" s="1"/>
  <c r="I78" i="1" s="1"/>
  <c r="J24" i="1"/>
  <c r="J39" i="1" s="1"/>
  <c r="J48" i="1" s="1"/>
  <c r="J78" i="1" s="1"/>
  <c r="F75" i="1"/>
  <c r="F76" i="1" s="1"/>
  <c r="F78" i="1" s="1"/>
  <c r="G67" i="1"/>
  <c r="G68" i="1" s="1"/>
  <c r="G66" i="1"/>
  <c r="G74" i="1" l="1"/>
  <c r="G71" i="1"/>
  <c r="G75" i="1" l="1"/>
  <c r="G76" i="1" s="1"/>
  <c r="G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C11" authorId="0" shapeId="0" xr:uid="{EC49D17D-A839-4E34-A4F4-845445364FAD}">
      <text>
        <r>
          <rPr>
            <sz val="9"/>
            <color indexed="81"/>
            <rFont val="Tahoma"/>
            <family val="2"/>
          </rPr>
          <t xml:space="preserve">wanneer er sprake is van 1 of meer nevenvestiging(en), betreft het hier de leerlingen van leerlingen van de hoofdvestigingen en nevenvestiging(en) bij elkaar opgeteld)
</t>
        </r>
      </text>
    </comment>
    <comment ref="C12" authorId="0" shapeId="0" xr:uid="{B5C53E6C-A5F2-4CDB-8017-1CEDFB583E9A}">
      <text>
        <r>
          <rPr>
            <sz val="9"/>
            <color indexed="81"/>
            <rFont val="Tahoma"/>
            <family val="2"/>
          </rPr>
          <t xml:space="preserve">het betreft hier de som van de achterstandsscores van alle (neven)vestigingen vallend onder dit brinnummer
</t>
        </r>
      </text>
    </comment>
    <comment ref="C13" authorId="0" shapeId="0" xr:uid="{8029EBA0-F0EE-4BFB-B61A-8C2654DD84C6}">
      <text>
        <r>
          <rPr>
            <sz val="9"/>
            <color indexed="81"/>
            <rFont val="Tahoma"/>
            <family val="2"/>
          </rPr>
          <t xml:space="preserve">In de berekening wordt er automatisch vanuit gegaan, dat het aantal leerlingen (totaal) minus de som van het aantal leerlingen op de nevenvestigingen het aantal leerlingen op de hoofdvestiging 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C10" authorId="0" shapeId="0" xr:uid="{3F9A094B-66DE-4C54-AC4A-1C78C6D6780F}">
      <text>
        <r>
          <rPr>
            <sz val="9"/>
            <color indexed="81"/>
            <rFont val="Tahoma"/>
            <family val="2"/>
          </rPr>
          <t>De teldatum 1 feb t-1 bepaalt de reguliere bekostiging in jaar t. Dus 1 feb 2023 bepaalt 2024. De nieuwkomerstelling op 1 jan 2024 bepaalt de aanvullende bekostiging jan-maart 2024.</t>
        </r>
      </text>
    </comment>
    <comment ref="C11" authorId="0" shapeId="0" xr:uid="{C1611630-F608-4415-8EC5-1BA35861E39A}">
      <text>
        <r>
          <rPr>
            <sz val="9"/>
            <color indexed="81"/>
            <rFont val="Tahoma"/>
            <family val="2"/>
          </rPr>
          <t>De teldatum 1 feb t-1 bepaalt de reguliere bekostiging in jaar t. Dus 1 feb 2023 bepaalt 2024. De nieuwkomerstelling op 1 jan 2024 bepaalt de aanvullende bekostiging jan-maart 2024
.</t>
        </r>
      </text>
    </comment>
    <comment ref="D12" authorId="0" shapeId="0" xr:uid="{C9C18629-F221-477B-8F1C-B6C822EA387F}">
      <text>
        <r>
          <rPr>
            <sz val="9"/>
            <color indexed="81"/>
            <rFont val="Tahoma"/>
            <family val="2"/>
          </rPr>
          <t>AVt = het totaal aantal op 1 februari van het voorgaande schooljaar ingeschreven leerlingen dat op de eerste schooldag asielzoeker of overige vreemdeling is.</t>
        </r>
        <r>
          <rPr>
            <sz val="9"/>
            <color indexed="81"/>
            <rFont val="Tahoma"/>
            <family val="2"/>
          </rPr>
          <t xml:space="preserve">
</t>
        </r>
      </text>
    </comment>
    <comment ref="D14" authorId="0" shapeId="0" xr:uid="{7EFFEE15-EE8B-4873-90BE-24B8FE555B8C}">
      <text>
        <r>
          <rPr>
            <sz val="9"/>
            <color indexed="81"/>
            <rFont val="Tahoma"/>
            <family val="2"/>
          </rPr>
          <t xml:space="preserve">Ap = het aantal op de peildatum ingeschreven leerlingen dat asielzoeker is;
</t>
        </r>
      </text>
    </comment>
    <comment ref="D15" authorId="0" shapeId="0" xr:uid="{911B339D-08EA-46B6-AB6F-5AEAB2209BD9}">
      <text>
        <r>
          <rPr>
            <sz val="9"/>
            <color indexed="81"/>
            <rFont val="Tahoma"/>
            <family val="2"/>
          </rPr>
          <t>Vp = het aantal op de peildatum ingeschreven leerlingen dat overige vreemdeling 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E7" authorId="0" shapeId="0" xr:uid="{08CCB66F-4062-4924-9ED0-F1A6A9DB8A22}">
      <text>
        <r>
          <rPr>
            <sz val="9"/>
            <color indexed="81"/>
            <rFont val="Tahoma"/>
            <family val="2"/>
          </rPr>
          <t xml:space="preserve">conform de ontvangen beschikking.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C11" authorId="0" shapeId="0" xr:uid="{55A568E7-C7B9-40EB-A55F-6D8769480A2A}">
      <text>
        <r>
          <rPr>
            <sz val="9"/>
            <color indexed="81"/>
            <rFont val="Tahoma"/>
            <family val="2"/>
          </rPr>
          <t xml:space="preserve">excl. lwoo en pro leerlingen en excl. vavo leerlingen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Kitty Attema</author>
    <author>Reinier Goedhart</author>
  </authors>
  <commentList>
    <comment ref="E68" authorId="0" shapeId="0" xr:uid="{F168A9CF-7525-4696-9304-FA370EDA4CB5}">
      <text>
        <r>
          <rPr>
            <sz val="11"/>
            <color theme="1"/>
            <rFont val="Calibri"/>
            <family val="2"/>
            <scheme val="minor"/>
          </rPr>
          <t>Kitty Attema:
€ 13,50 korting is hierin verwerkt; de evt. compensatie niet.</t>
        </r>
      </text>
    </comment>
    <comment ref="F68" authorId="0" shapeId="0" xr:uid="{0D1550BE-BB89-427B-BB1B-A504CC82C725}">
      <text>
        <r>
          <rPr>
            <sz val="11"/>
            <color theme="1"/>
            <rFont val="Calibri"/>
            <family val="2"/>
            <scheme val="minor"/>
          </rPr>
          <t>Kitty Attema:
Hierin is geen korting opgenomen.</t>
        </r>
      </text>
    </comment>
    <comment ref="E73" authorId="1" shapeId="0" xr:uid="{A5458078-5E0E-491A-B511-0CDAD2C874B0}">
      <text>
        <r>
          <rPr>
            <sz val="9"/>
            <color indexed="81"/>
            <rFont val="Tahoma"/>
            <family val="2"/>
          </rPr>
          <t xml:space="preserve">
https://zoek.officielebekendmakingen.nl/stcrt-2023-16485.html</t>
        </r>
      </text>
    </comment>
    <comment ref="E74" authorId="1" shapeId="0" xr:uid="{29C53472-9914-489D-BF85-C603F9F1128C}">
      <text>
        <r>
          <rPr>
            <sz val="9"/>
            <color indexed="81"/>
            <rFont val="Tahoma"/>
            <family val="2"/>
          </rPr>
          <t xml:space="preserve">
https://zoek.officielebekendmakingen.nl/stcrt-2023-16485.html</t>
        </r>
      </text>
    </comment>
    <comment ref="E75" authorId="0" shapeId="0" xr:uid="{20D571E8-B1DD-4FE0-B738-78C8D5894468}">
      <text>
        <r>
          <rPr>
            <sz val="11"/>
            <color theme="1"/>
            <rFont val="Calibri"/>
            <family val="2"/>
            <scheme val="minor"/>
          </rPr>
          <t>Kitty Attema:
€ 12,50 korting is hierin verwerkt. De evt. compensatie niet.</t>
        </r>
      </text>
    </comment>
    <comment ref="F75" authorId="0" shapeId="0" xr:uid="{95113F6A-B87D-4542-A6FE-4EFEC23E40C0}">
      <text>
        <r>
          <rPr>
            <sz val="11"/>
            <color theme="1"/>
            <rFont val="Calibri"/>
            <family val="2"/>
            <scheme val="minor"/>
          </rPr>
          <t>Kitty Attema:
Hierin is geen korting opgenomen.</t>
        </r>
      </text>
    </comment>
  </commentList>
</comments>
</file>

<file path=xl/sharedStrings.xml><?xml version="1.0" encoding="utf-8"?>
<sst xmlns="http://schemas.openxmlformats.org/spreadsheetml/2006/main" count="507" uniqueCount="350">
  <si>
    <t xml:space="preserve"> </t>
  </si>
  <si>
    <t>MODEL BEREKENING BEKOSTIGING PER 1-1-2024</t>
  </si>
  <si>
    <t>versie 3 oktober 2023</t>
  </si>
  <si>
    <t>Dit model geeft inzicht in de berekening van de bekostiging van basisscholen, speciale basisscholen, scholen voor (voortgezet) speciaal onderwijs en samenwerkingsverbanden per kalenderjaar 2024.</t>
  </si>
  <si>
    <t>Voor meer informatie over de vereenvoudiging van de bekostiging, verwijzen we u naar de website van OCW:</t>
  </si>
  <si>
    <t xml:space="preserve">https://www.rijksoverheid.nl/onderwerpen/financiering-onderwijs/financiering-primair-onderwijs/vereenvoudiging-bekostiging-primair-onderwijs </t>
  </si>
  <si>
    <t>en naar de website van de PO-Raad:</t>
  </si>
  <si>
    <t>https://www.poraad.nl/arbeidszaken-bedrijfsvoering/financien/financien-en-verantwoording</t>
  </si>
  <si>
    <r>
      <t xml:space="preserve">In dit model wordt uitgegaan van de bedragen zoals deze zijn opgenomen in de Regeling bekostiging WPO en WEC 2023 van d.d. 19 septetmber 2023, vermeerderd met de </t>
    </r>
    <r>
      <rPr>
        <u/>
        <sz val="11"/>
        <color theme="1"/>
        <rFont val="Calibri"/>
        <family val="2"/>
        <scheme val="minor"/>
      </rPr>
      <t>verwachte</t>
    </r>
    <r>
      <rPr>
        <sz val="11"/>
        <color theme="1"/>
        <rFont val="Calibri"/>
        <family val="2"/>
        <scheme val="minor"/>
      </rPr>
      <t xml:space="preserve"> prijsbijstelling 2024</t>
    </r>
  </si>
  <si>
    <t xml:space="preserve">Om de bekostiging op het niveau van RIO (v.h. BRIN) te kunnen berekenen, dienen de grijze velden te worden ingevuld (voor zover voor de betreffende school van toepassing). </t>
  </si>
  <si>
    <t xml:space="preserve">Indien u de bekostiging in geval van fusie of samengaan wilt berekenen, dan is hiervoor een apart model beschikbaar in de toolbox op de website van de PO-Raad:  </t>
  </si>
  <si>
    <t>https://www.poraad.nl/arbeidszaken-bedrijfsvoering/financien/toolbox-bekostiging</t>
  </si>
  <si>
    <r>
      <t xml:space="preserve">De werkbladen zijn beveiligd met het wachtwoord </t>
    </r>
    <r>
      <rPr>
        <sz val="11"/>
        <color rgb="FFC00000"/>
        <rFont val="Calibri"/>
        <family val="2"/>
        <scheme val="minor"/>
      </rPr>
      <t>poraad</t>
    </r>
    <r>
      <rPr>
        <sz val="11"/>
        <color theme="1"/>
        <rFont val="Calibri"/>
        <family val="2"/>
        <scheme val="minor"/>
      </rPr>
      <t>. Voor het opheffen van de beveiliging kiest u boven in uw scherm c</t>
    </r>
    <r>
      <rPr>
        <i/>
        <sz val="11"/>
        <color theme="1"/>
        <rFont val="Calibri"/>
        <family val="2"/>
        <scheme val="minor"/>
      </rPr>
      <t>ontroleren/beveiliging blad opheffen</t>
    </r>
    <r>
      <rPr>
        <sz val="11"/>
        <color theme="1"/>
        <rFont val="Calibri"/>
        <family val="2"/>
        <scheme val="minor"/>
      </rPr>
      <t xml:space="preserve">. </t>
    </r>
  </si>
  <si>
    <t>Vragen over de vereenvoudiging van de bekostiging kunt u stellen door een mail te sturen aan de juridische helpdesk van de PO-Raad, na inloggen in het ledenportaal.</t>
  </si>
  <si>
    <t>Veel gestelde vragen en antwoorden zijn opgenomen in een Q&amp;A document onder aan deze webpagina:</t>
  </si>
  <si>
    <t>BEKOSTIGING BASISSCHOOL (BAS)</t>
  </si>
  <si>
    <t xml:space="preserve">naam school </t>
  </si>
  <si>
    <t>Beatrixschool</t>
  </si>
  <si>
    <t>brinnummer</t>
  </si>
  <si>
    <t>11AA</t>
  </si>
  <si>
    <t>kalenderjaar</t>
  </si>
  <si>
    <t>teldatum</t>
  </si>
  <si>
    <t>Gegevens</t>
  </si>
  <si>
    <t>Aantal leerlingen (totaal)</t>
  </si>
  <si>
    <t>Achterstandsscore (totaal)</t>
  </si>
  <si>
    <t>Aantal leerlingen nevenvestiging 1</t>
  </si>
  <si>
    <t>Aantal leerlingen nevenvestiging 2</t>
  </si>
  <si>
    <t>Aantal NOAT leerlingen</t>
  </si>
  <si>
    <t>Aantal IGBO leerlingen</t>
  </si>
  <si>
    <t>Basisbekostiging</t>
  </si>
  <si>
    <t>Bedrag per leerling</t>
  </si>
  <si>
    <t>Bedrag per school</t>
  </si>
  <si>
    <t>Extra bekostiging</t>
  </si>
  <si>
    <t>Kleine scholentoeslag</t>
  </si>
  <si>
    <t>Zeer kleine scholentoeslag</t>
  </si>
  <si>
    <t>Toeslag nevenvestiging (incl. evt. KST)</t>
  </si>
  <si>
    <t xml:space="preserve">berekening kst hoofdvestiging </t>
  </si>
  <si>
    <t>berekening kst nevenvestiging 1</t>
  </si>
  <si>
    <t>berekening kst nevenvestiging 2</t>
  </si>
  <si>
    <t>daadwerkelijk kst ontvangen</t>
  </si>
  <si>
    <t>60% verschil: berekening kst per vestiging -/- daadwerkelijke kst</t>
  </si>
  <si>
    <t>plus: bedrag nevenvestiging BO</t>
  </si>
  <si>
    <t>Onderwijsachterstanden</t>
  </si>
  <si>
    <t>Nederlands onderwijs aan anderstaligen (NOAT)</t>
  </si>
  <si>
    <t>Internationaal georiënteerd basisonderwijs (IGBO)</t>
  </si>
  <si>
    <t>Groeibekostiging (wordt berekend op bestuursniveau)</t>
  </si>
  <si>
    <t>Prof. begeleiding starters en schoolleiders</t>
  </si>
  <si>
    <r>
      <t xml:space="preserve">Aanvullende bekostiging </t>
    </r>
    <r>
      <rPr>
        <sz val="10"/>
        <color theme="1"/>
        <rFont val="Calibri"/>
        <family val="2"/>
        <scheme val="minor"/>
      </rPr>
      <t>(zie werkblad 'aanv-bas')</t>
    </r>
  </si>
  <si>
    <t>Samenvoegingscompensatie</t>
  </si>
  <si>
    <t xml:space="preserve">Bekostiging basisschool totaal </t>
  </si>
  <si>
    <t>Overgangsbekostiging</t>
  </si>
  <si>
    <r>
      <t xml:space="preserve">Reguliere bekostiging oude stijl (teldatum </t>
    </r>
    <r>
      <rPr>
        <b/>
        <sz val="10"/>
        <color theme="1"/>
        <rFont val="Calibri"/>
        <family val="2"/>
        <scheme val="minor"/>
      </rPr>
      <t>1-10-2021</t>
    </r>
    <r>
      <rPr>
        <sz val="10"/>
        <color theme="1"/>
        <rFont val="Calibri"/>
        <family val="2"/>
        <scheme val="minor"/>
      </rPr>
      <t>)</t>
    </r>
  </si>
  <si>
    <t>indicatie herverdeeleffecten, overzicht scholen</t>
  </si>
  <si>
    <t>cel B12</t>
  </si>
  <si>
    <t>D</t>
  </si>
  <si>
    <t>Dit bedrag neemt u over uit het herverdeeleffectenmodel. Het wordt alleen geindexeerd (zie A).</t>
  </si>
  <si>
    <r>
      <t xml:space="preserve">Reguliere bekostiging nieuwe stijl (teldatum </t>
    </r>
    <r>
      <rPr>
        <b/>
        <sz val="10"/>
        <color theme="1"/>
        <rFont val="Calibri"/>
        <family val="2"/>
        <scheme val="minor"/>
      </rPr>
      <t>1-10-2021</t>
    </r>
    <r>
      <rPr>
        <sz val="10"/>
        <color theme="1"/>
        <rFont val="Calibri"/>
        <family val="2"/>
        <scheme val="minor"/>
      </rPr>
      <t>)</t>
    </r>
  </si>
  <si>
    <t>cel C12</t>
  </si>
  <si>
    <t>E</t>
  </si>
  <si>
    <r>
      <t xml:space="preserve">Reguliere bekostiging nieuwe stijl (teldatum </t>
    </r>
    <r>
      <rPr>
        <b/>
        <sz val="10"/>
        <color theme="1"/>
        <rFont val="Calibri"/>
        <family val="2"/>
        <scheme val="minor"/>
      </rPr>
      <t>1-2-2022</t>
    </r>
    <r>
      <rPr>
        <sz val="10"/>
        <color theme="1"/>
        <rFont val="Calibri"/>
        <family val="2"/>
        <scheme val="minor"/>
      </rPr>
      <t>)</t>
    </r>
  </si>
  <si>
    <t>Fo</t>
  </si>
  <si>
    <r>
      <t xml:space="preserve">Aantal leerlingen per teldatum </t>
    </r>
    <r>
      <rPr>
        <b/>
        <sz val="10"/>
        <color theme="1"/>
        <rFont val="Calibri"/>
        <family val="2"/>
        <scheme val="minor"/>
      </rPr>
      <t>1-2-2022</t>
    </r>
  </si>
  <si>
    <t>To</t>
  </si>
  <si>
    <r>
      <t xml:space="preserve">Reguliere bekostiging nieuwe stijl </t>
    </r>
    <r>
      <rPr>
        <b/>
        <sz val="10"/>
        <rFont val="Calibri"/>
        <family val="2"/>
        <scheme val="minor"/>
      </rPr>
      <t>(teldatum 1-2 t-1)</t>
    </r>
  </si>
  <si>
    <t>F</t>
  </si>
  <si>
    <r>
      <t xml:space="preserve">Aantal leerlingen per teldatum </t>
    </r>
    <r>
      <rPr>
        <b/>
        <sz val="10"/>
        <rFont val="Calibri"/>
        <family val="2"/>
        <scheme val="minor"/>
      </rPr>
      <t>1-2 t-1</t>
    </r>
  </si>
  <si>
    <t>T</t>
  </si>
  <si>
    <r>
      <t xml:space="preserve">Reguliere bekostiging </t>
    </r>
    <r>
      <rPr>
        <b/>
        <i/>
        <sz val="10"/>
        <rFont val="Calibri"/>
        <family val="2"/>
        <scheme val="minor"/>
      </rPr>
      <t>nieuwe stijl</t>
    </r>
    <r>
      <rPr>
        <sz val="10"/>
        <rFont val="Calibri"/>
        <family val="2"/>
        <scheme val="minor"/>
      </rPr>
      <t xml:space="preserve"> per leerling (teldatum </t>
    </r>
    <r>
      <rPr>
        <b/>
        <sz val="10"/>
        <rFont val="Calibri"/>
        <family val="2"/>
        <scheme val="minor"/>
      </rPr>
      <t>1-2 t-1</t>
    </r>
    <r>
      <rPr>
        <sz val="10"/>
        <rFont val="Calibri"/>
        <family val="2"/>
        <scheme val="minor"/>
      </rPr>
      <t>)</t>
    </r>
  </si>
  <si>
    <t xml:space="preserve"> F / T</t>
  </si>
  <si>
    <t>B</t>
  </si>
  <si>
    <r>
      <t>Reguliere bekostiging</t>
    </r>
    <r>
      <rPr>
        <b/>
        <i/>
        <sz val="10"/>
        <rFont val="Calibri"/>
        <family val="2"/>
        <scheme val="minor"/>
      </rPr>
      <t xml:space="preserve"> oude stijl</t>
    </r>
    <r>
      <rPr>
        <sz val="10"/>
        <rFont val="Calibri"/>
        <family val="2"/>
        <scheme val="minor"/>
      </rPr>
      <t xml:space="preserve"> per leerling (teldatum </t>
    </r>
    <r>
      <rPr>
        <b/>
        <sz val="10"/>
        <rFont val="Calibri"/>
        <family val="2"/>
        <scheme val="minor"/>
      </rPr>
      <t>1-2-2022</t>
    </r>
    <r>
      <rPr>
        <sz val="10"/>
        <rFont val="Calibri"/>
        <family val="2"/>
        <scheme val="minor"/>
      </rPr>
      <t>)</t>
    </r>
  </si>
  <si>
    <t>(D / E) x (Fo / To)</t>
  </si>
  <si>
    <t>A</t>
  </si>
  <si>
    <t>Overgangspercentage</t>
  </si>
  <si>
    <t>C</t>
  </si>
  <si>
    <t>Bekostiging oude stijl -/- nieuwe stijl (totaal) - ( A - B ) x T =</t>
  </si>
  <si>
    <t>( A - B ) x T</t>
  </si>
  <si>
    <t>Overgangsbekostiging na overgangspercentage -  ( A - B ) x C x T =</t>
  </si>
  <si>
    <t>( A - B ) x C x T</t>
  </si>
  <si>
    <t>herverdeeleffect</t>
  </si>
  <si>
    <t>maximaal negatief herverdeeleffect in %</t>
  </si>
  <si>
    <t>maximaal negatief herverdeeleffect in €</t>
  </si>
  <si>
    <t>M- aanpassing overgangsbekostiging</t>
  </si>
  <si>
    <t>maximaal positief herverdeeleffect in %</t>
  </si>
  <si>
    <t>maximaal positief herverdeeleffect in €</t>
  </si>
  <si>
    <t>M+ aanpassing overgangsbekostiging</t>
  </si>
  <si>
    <t>Maximeringsregel (indien herverdeeleffect &lt; of &gt; 1%-punt per jaar)</t>
  </si>
  <si>
    <t>Overgangsbekostiging na maximeringsregeling</t>
  </si>
  <si>
    <t>Bekostiging totaal (na correctie overgangsregeling)</t>
  </si>
  <si>
    <t>AANVULLENDE BEKOSTIGING BASISSCHOLEN</t>
  </si>
  <si>
    <t>I. Eerste opvang asielzoekers en overige vreemdelingen basisscholen</t>
  </si>
  <si>
    <t>drempel bekostiging (aantal asielzoekers én overige vreemdelingen)</t>
  </si>
  <si>
    <t>Rekenregel 1 januari (voor maanden januari t/m maart)</t>
  </si>
  <si>
    <t>aantal AZK op teldatum 1 feb t-1</t>
  </si>
  <si>
    <t>aantal overige vreemdelingen op teldatum 1 feb t-1</t>
  </si>
  <si>
    <t>AVt</t>
  </si>
  <si>
    <t>aantal AZK op teldatum 1 januari t</t>
  </si>
  <si>
    <t>Ap</t>
  </si>
  <si>
    <t>aantal overige vreemdelingen op teldatum 1 januari t</t>
  </si>
  <si>
    <t>Vp</t>
  </si>
  <si>
    <t>aanvullende bekostiging als Ap en Vp &gt; AVt</t>
  </si>
  <si>
    <r>
      <t xml:space="preserve">aanvullende bekostiging als Ap en Vp </t>
    </r>
    <r>
      <rPr>
        <u/>
        <sz val="10"/>
        <color theme="1"/>
        <rFont val="Calibri"/>
        <family val="2"/>
        <scheme val="minor"/>
      </rPr>
      <t>&lt;</t>
    </r>
    <r>
      <rPr>
        <sz val="10"/>
        <color theme="1"/>
        <rFont val="Calibri"/>
        <family val="2"/>
        <scheme val="minor"/>
      </rPr>
      <t xml:space="preserve"> Avt</t>
    </r>
  </si>
  <si>
    <t>Rekenregel 1 april (voor maanden april t/m juni)</t>
  </si>
  <si>
    <t>aantal AZK op teldatum 1 april t</t>
  </si>
  <si>
    <t>aantal overige vreemdelingen op teldatum 1 april t</t>
  </si>
  <si>
    <t>Rekenregel 1 juli (voor maanden juli t/m sept)</t>
  </si>
  <si>
    <t>aantal AZK op teldatum 1 juli t</t>
  </si>
  <si>
    <t>aantal overige vreemdelingen op teldatum 1 juli t</t>
  </si>
  <si>
    <t>Rekenregel op teldatum 1 oktober (voor maanden okt t/m dec)</t>
  </si>
  <si>
    <t>aantal AZK op teldatum 1 oktober t</t>
  </si>
  <si>
    <t>aantal overige vreemdelingen op teldatum 1 oktober t</t>
  </si>
  <si>
    <t>Eerste keer dat school deze aanvullende bekostiging aanvraagt?</t>
  </si>
  <si>
    <t>ja</t>
  </si>
  <si>
    <t xml:space="preserve">totaal </t>
  </si>
  <si>
    <t>II. Onderwijs aan asielzoekers gedurende tweede jaar in NL op basisscholen</t>
  </si>
  <si>
    <t>Aantal tweedejaars asielzoekers per 1 januari</t>
  </si>
  <si>
    <t>Aantal tweedejaars asielzoekers per 1 april</t>
  </si>
  <si>
    <t>Aantal tweedejaars asielzoekers per 1 juli</t>
  </si>
  <si>
    <t>Aantal tweedejaars asielzoekers per 1 oktober</t>
  </si>
  <si>
    <t>III. Opvang asielzoekerskinderen in POL/GLO</t>
  </si>
  <si>
    <t>Aantal azk in POL/GLO per 1 feb t-1</t>
  </si>
  <si>
    <t>IV. Schipperskinderen (in eerste 4 verblijfsjaren op deze basisschool)</t>
  </si>
  <si>
    <t xml:space="preserve">drempel </t>
  </si>
  <si>
    <t>Aanvraag voor deze aanvullende bekostiging ingediend in:</t>
  </si>
  <si>
    <t>januari</t>
  </si>
  <si>
    <t>februari</t>
  </si>
  <si>
    <t xml:space="preserve">maart </t>
  </si>
  <si>
    <t xml:space="preserve">april </t>
  </si>
  <si>
    <t xml:space="preserve">mei </t>
  </si>
  <si>
    <t>juni</t>
  </si>
  <si>
    <t>juli</t>
  </si>
  <si>
    <t>augustus</t>
  </si>
  <si>
    <t>september</t>
  </si>
  <si>
    <t>oktober</t>
  </si>
  <si>
    <t xml:space="preserve">november </t>
  </si>
  <si>
    <t>V. Leerlingen met een culturele achtergrond van de Roma en Sinti</t>
  </si>
  <si>
    <t>drempel</t>
  </si>
  <si>
    <t>VI. Leerlingen uit een 'Blijf van mijn lijf huis'</t>
  </si>
  <si>
    <t>Groeibekostiging BAS  (op bestuursniveau)</t>
  </si>
  <si>
    <t>Drempel groei per bestuur (4%)</t>
  </si>
  <si>
    <t xml:space="preserve">Aantal ingeschreven lln basisonderwijs binnen het totale schoolbestuur </t>
  </si>
  <si>
    <t>per 1 januari</t>
  </si>
  <si>
    <t>per 1 februari</t>
  </si>
  <si>
    <t>per 1 maart</t>
  </si>
  <si>
    <t>per 1 april</t>
  </si>
  <si>
    <t>per 1 mei</t>
  </si>
  <si>
    <t>per 1 juni</t>
  </si>
  <si>
    <t>per 1 juli</t>
  </si>
  <si>
    <t>per 1 augustus</t>
  </si>
  <si>
    <t>per 1 september</t>
  </si>
  <si>
    <t>per 1 oktober</t>
  </si>
  <si>
    <t>per 1 november</t>
  </si>
  <si>
    <t>per 1 december</t>
  </si>
  <si>
    <t>BEKOSTIGING SCHOOL VOOR SPECIAAL BASISONDERWIJS (SBO)</t>
  </si>
  <si>
    <t>Willem-Alexanderschool</t>
  </si>
  <si>
    <t>22BB</t>
  </si>
  <si>
    <t>Aantal CUMI-leerlingen</t>
  </si>
  <si>
    <t>Aantal nevenvestigingen</t>
  </si>
  <si>
    <t>Extra bekostiging en ondersteuningsmiddelen</t>
  </si>
  <si>
    <t>Toeslag nevenvestiging</t>
  </si>
  <si>
    <t>Ondersteuningsmiddelen</t>
  </si>
  <si>
    <t>Meer dan gemiddelde leerlingtoename SBO (vanuit SWV)</t>
  </si>
  <si>
    <r>
      <t xml:space="preserve">Aanvullende bekostiging </t>
    </r>
    <r>
      <rPr>
        <sz val="10"/>
        <color theme="1"/>
        <rFont val="Calibri"/>
        <family val="2"/>
        <scheme val="minor"/>
      </rPr>
      <t>(zie werkblad 'aanv-sbo')</t>
    </r>
  </si>
  <si>
    <t>Eerste opvang vreemdelingen op sbo</t>
  </si>
  <si>
    <t xml:space="preserve">Bekostiging SBO-school totaal </t>
  </si>
  <si>
    <r>
      <t xml:space="preserve">Reguliere bekostiging nieuwe stijl (teldatum </t>
    </r>
    <r>
      <rPr>
        <b/>
        <sz val="10"/>
        <color theme="1"/>
        <rFont val="Calibri"/>
        <family val="2"/>
        <scheme val="minor"/>
      </rPr>
      <t>1-2 t-1</t>
    </r>
    <r>
      <rPr>
        <sz val="10"/>
        <color theme="1"/>
        <rFont val="Calibri"/>
        <family val="2"/>
        <scheme val="minor"/>
      </rPr>
      <t>)</t>
    </r>
  </si>
  <si>
    <r>
      <t xml:space="preserve">Aantal leerlingen per teldatum </t>
    </r>
    <r>
      <rPr>
        <b/>
        <sz val="10"/>
        <color theme="1"/>
        <rFont val="Calibri"/>
        <family val="2"/>
        <scheme val="minor"/>
      </rPr>
      <t>1-2 t-1</t>
    </r>
  </si>
  <si>
    <t>Reguliere bekostiging nieuwe stijl per leerling (teldatum 1-2 t-1)</t>
  </si>
  <si>
    <t>Reguliere bekostiging oude stijl per leerling (teldatum 1-2 t-1)</t>
  </si>
  <si>
    <t>Bekostiging oude stijl -/- nieuwe stijl (totaal)</t>
  </si>
  <si>
    <t>Overgangsbekostiging na overgangspercentage</t>
  </si>
  <si>
    <t>AANVULLENDE BEKOSTIGING SPECIALE BASISSCHOLEN</t>
  </si>
  <si>
    <t>I. Opvang asielzoekers en overige vreemdelingen op speciale scholen voor basisonderwijs met een verblijfsperiode in NL tot 1 jaar</t>
  </si>
  <si>
    <t>Aantal vreemdelingen per 1 januari</t>
  </si>
  <si>
    <t>Aantal vreemdelingen per 1 april</t>
  </si>
  <si>
    <t>Aantal vreemdelingen per 1 juli</t>
  </si>
  <si>
    <t>Aantal vreemdelingen per 1 oktober</t>
  </si>
  <si>
    <t>nee</t>
  </si>
  <si>
    <t>BEKOSTIGING (V)SO SCHOOL - CLUSTER 3&amp;4</t>
  </si>
  <si>
    <t>Amaliaschool</t>
  </si>
  <si>
    <t>33CC</t>
  </si>
  <si>
    <t>Aantal leerlingen SO categorie 1 (totaal)</t>
  </si>
  <si>
    <t>Aantal leerlingen SO categorie 2 (totaal)</t>
  </si>
  <si>
    <t>Aantal leerlingen SO categorie 3 (totaal)</t>
  </si>
  <si>
    <t>Totaal aantal leerlingen SO</t>
  </si>
  <si>
    <t>Aantal leerlingen VSO categorie 1 (totaal)</t>
  </si>
  <si>
    <t>Aantal leerlingen VSO categorie 2 (totaal)</t>
  </si>
  <si>
    <t>Aantal leerlingen VSO categorie 3 (totaal)</t>
  </si>
  <si>
    <t>Aantal leerlingen VSO</t>
  </si>
  <si>
    <t>Aantal brancardliften</t>
  </si>
  <si>
    <t>Aantal hydrotherapiebaden</t>
  </si>
  <si>
    <t>Totale inhoud hydrotherapiebaden in m3</t>
  </si>
  <si>
    <t>Aantal watergewenningsbaden</t>
  </si>
  <si>
    <t>Totale inhoud watergewenningsbaden in m3</t>
  </si>
  <si>
    <t xml:space="preserve">waarvan baden met beweegbare bodem </t>
  </si>
  <si>
    <t>Totale inhoud beweegbare bodembaden in m3</t>
  </si>
  <si>
    <t>Bedrag per leerling SO</t>
  </si>
  <si>
    <t>Bedrag per leerling VSO</t>
  </si>
  <si>
    <t>Bedrag per SO-afdeling</t>
  </si>
  <si>
    <t>Bedrag per VSO-afdeling</t>
  </si>
  <si>
    <t>Liften en baden</t>
  </si>
  <si>
    <t>Ondersteuningsmiddelen SO</t>
  </si>
  <si>
    <t>Ondersteuningsmiddelen VSO</t>
  </si>
  <si>
    <t>Meer dan gemiddelde leerlingtoename SO (vanuit SWV)</t>
  </si>
  <si>
    <t>vangnetbepaling</t>
  </si>
  <si>
    <t>Meer dan gemiddelde leerlingtoename VSO (vanuit SWV)</t>
  </si>
  <si>
    <t>Leerlingen met een ernstige meervoudige beperking</t>
  </si>
  <si>
    <r>
      <t xml:space="preserve">Aanvullende bekostiging </t>
    </r>
    <r>
      <rPr>
        <sz val="10"/>
        <color theme="1"/>
        <rFont val="Calibri"/>
        <family val="2"/>
        <scheme val="minor"/>
      </rPr>
      <t>(zie werkblad 'aanv-so')</t>
    </r>
  </si>
  <si>
    <t>Ernstig Meervoudig Beperkten (EMB)</t>
  </si>
  <si>
    <t>GJI/JJI</t>
  </si>
  <si>
    <t xml:space="preserve">Bekostiging (V)SO-school totaal </t>
  </si>
  <si>
    <t>Reguliere bekostiging oude stijl (teldatum 1-10-2021)</t>
  </si>
  <si>
    <t>Reguliere bekostiging nieuwe stijl (teldatum 1-10-2021)</t>
  </si>
  <si>
    <t>Reguliere bekostiging nieuwe stijl (teldatum 1-2-2022)</t>
  </si>
  <si>
    <t>Aantal leerlingen per teldatum 1-2-2022</t>
  </si>
  <si>
    <t>AANVULLENDE BEKOSTIGING SPECIALE SCHOLEN</t>
  </si>
  <si>
    <t>I. Leerlingen met een ernstige meervoudige beperking</t>
  </si>
  <si>
    <t>Bedrag per EMB leerling (o.b.v. aantal EMB-lln landelijk)</t>
  </si>
  <si>
    <t>Aantal EMB leerlingen op teldatum 1-2 t-1</t>
  </si>
  <si>
    <t>II. GJI/JJI</t>
  </si>
  <si>
    <t>Aantal leerlingen per 1 februari t-1 (alle vestigingen GJI/JJI)</t>
  </si>
  <si>
    <t>Aantal vestigingen</t>
  </si>
  <si>
    <t>Capaciteit per 1 januari t (alle vestigingen GJI/JJI)</t>
  </si>
  <si>
    <t>Onbezette capaciteit (alle vestigingen GJI/JJI)</t>
  </si>
  <si>
    <t>BEKOSTIGING SWV PO</t>
  </si>
  <si>
    <t>naam SWV</t>
  </si>
  <si>
    <t>SWV-PO</t>
  </si>
  <si>
    <t>SWV-nummer</t>
  </si>
  <si>
    <t>Totaal aantal leerlingen regulier basisonderwijs in SWV</t>
  </si>
  <si>
    <t>Totaal aantal leerlingen sbo in SWV</t>
  </si>
  <si>
    <t>som van alle achterstandsscores van scholen binnen SWV</t>
  </si>
  <si>
    <t>Aantal lln sbo met TLV van dit SWV</t>
  </si>
  <si>
    <t>Aantal lln so met TLV cat. 1 (laag) van dit SWV</t>
  </si>
  <si>
    <t>Aantal lln so met TLV cat. 2 (midden) van dit SWV</t>
  </si>
  <si>
    <t>Aantal lln so met TLV cat. 3 (hoog) van dit SWV</t>
  </si>
  <si>
    <t>Lichte ondersteuning PO (excl. afdrachten via DUO)</t>
  </si>
  <si>
    <t>Zware ondersteuning  PO (excl. afdrachten via DUO)</t>
  </si>
  <si>
    <t>Aanvullende bekostiging: schoolmaatschappelijke werk PO</t>
  </si>
  <si>
    <t>Bekostiging SWV-PO totaal (bruto baten)</t>
  </si>
  <si>
    <t>Afdrachten via DUO</t>
  </si>
  <si>
    <r>
      <t>Ondersteuningsbekostiging sbo</t>
    </r>
    <r>
      <rPr>
        <sz val="10"/>
        <color rgb="FFFF0000"/>
        <rFont val="Calibri"/>
        <family val="2"/>
        <scheme val="minor"/>
      </rPr>
      <t>*</t>
    </r>
  </si>
  <si>
    <r>
      <t>Ondersteuningsbekostiging so</t>
    </r>
    <r>
      <rPr>
        <sz val="10"/>
        <color rgb="FFFF0000"/>
        <rFont val="Calibri"/>
        <family val="2"/>
        <scheme val="minor"/>
      </rPr>
      <t>**</t>
    </r>
  </si>
  <si>
    <t>Bekostiging SWV-PO totaal (netto baten)</t>
  </si>
  <si>
    <t>Beschikking lichte ondersteuning</t>
  </si>
  <si>
    <t>Beschikking zware ondersteuning</t>
  </si>
  <si>
    <t>Beschikking schoolmaatschappelijk werk</t>
  </si>
  <si>
    <t>*Als de afdracht hoger is dan de bekostiging lichte ondersteuning, dan wordt deze gemaximeerd tot de hoogte van de bekostiging lichte ondersteuning. Het verschil wordt verminderd op de bekostiging van de reguliere scholen die onder het swv vallen.</t>
  </si>
  <si>
    <t>**Als de afdracht hoger is dan de bekostiging zware ondersteuning, dan wordt deze gemaximeerd tot de hoogte van de bekostiging zware ondersteuning. Het verschil wordt verminderd op de bekostiging van de scholen (regulier en sbo) die onder het swv vallen.</t>
  </si>
  <si>
    <t>BEKOSTIGING SWV VO</t>
  </si>
  <si>
    <t>SWV-VO</t>
  </si>
  <si>
    <r>
      <t xml:space="preserve">Leerlingen VO </t>
    </r>
    <r>
      <rPr>
        <u/>
        <sz val="10"/>
        <color theme="1"/>
        <rFont val="Calibri"/>
        <family val="2"/>
        <scheme val="minor"/>
      </rPr>
      <t>overige</t>
    </r>
    <r>
      <rPr>
        <sz val="10"/>
        <color theme="1"/>
        <rFont val="Calibri"/>
        <family val="2"/>
        <scheme val="minor"/>
      </rPr>
      <t xml:space="preserve"> in SWV (wordt berekend)</t>
    </r>
  </si>
  <si>
    <t>Leerlingen vavo (uitbesteed)</t>
  </si>
  <si>
    <t>Leerlingen lwoo</t>
  </si>
  <si>
    <t>Leerlingen pro</t>
  </si>
  <si>
    <t>Totaal aantal leerlingen in SWV</t>
  </si>
  <si>
    <t>Bij: nieuwkomers &lt;1 jaar in NL</t>
  </si>
  <si>
    <t xml:space="preserve">Af: 50% van aantal leerlingen vavo tg </t>
  </si>
  <si>
    <t>Totaal voor berekening bekostiging</t>
  </si>
  <si>
    <t>Let op - teldatum VSO wijkt af van teldatum VO</t>
  </si>
  <si>
    <t>Aantal lln VSO met TLV cat. 1 (laag) van dit SWV</t>
  </si>
  <si>
    <t>Aantal lln VSO met TLV cat. 2 (midden) van dit SWV</t>
  </si>
  <si>
    <t>Aantal lln VSO met TLV cat. 3 (hoog) van dit SWV</t>
  </si>
  <si>
    <t>Deelname % lwoo 1-10-2012</t>
  </si>
  <si>
    <t>Deelname % pro 1-10-2012</t>
  </si>
  <si>
    <t>Lichte ondersteuning VO (excl. afdrachten via DUO) - regionaal</t>
  </si>
  <si>
    <t>Lichte ondersteuning VO (excl. afdrachten via DUO) - lwoo</t>
  </si>
  <si>
    <t>Lichte ondersteuning VO (excl. afdrachten via DUO) - pro</t>
  </si>
  <si>
    <t>Zware ondersteuning  VO (excl. afdrachten via DUO)</t>
  </si>
  <si>
    <t>Bekostiging SWV-VO totaal (bruto baten)</t>
  </si>
  <si>
    <r>
      <t>Ondersteuningsbekostiging lwoo</t>
    </r>
    <r>
      <rPr>
        <sz val="10"/>
        <color rgb="FFFF0000"/>
        <rFont val="Calibri"/>
        <family val="2"/>
        <scheme val="minor"/>
      </rPr>
      <t>*</t>
    </r>
  </si>
  <si>
    <r>
      <t>Ondersteuningsbekostiging pro</t>
    </r>
    <r>
      <rPr>
        <sz val="10"/>
        <color rgb="FFFF0000"/>
        <rFont val="Calibri"/>
        <family val="2"/>
        <scheme val="minor"/>
      </rPr>
      <t>*</t>
    </r>
  </si>
  <si>
    <t>Bekostiging SWV-VO totaal (netto baten)</t>
  </si>
  <si>
    <t>**Als de afdracht hoger is dan de bekostiging zware ondersteuning, dan wordt deze gemaximeerd tot de hoogte van de bekostiging zware ondersteuning. Het verschil wordt verminderd op de bekostiging van de scholen (regulier, lwoo en pro) die onder het swv vallen.</t>
  </si>
  <si>
    <t>TABELLEN</t>
  </si>
  <si>
    <t>voorlopig / 
1e regeling</t>
  </si>
  <si>
    <t>definitief / 
2e regeling</t>
  </si>
  <si>
    <t xml:space="preserve">INDICATIE </t>
  </si>
  <si>
    <t>2023 (ex. prsbijst.)</t>
  </si>
  <si>
    <t>datum regeling</t>
  </si>
  <si>
    <t>x-10-2023</t>
  </si>
  <si>
    <t>BAS</t>
  </si>
  <si>
    <t>2023 (ex. prs.bijst.)</t>
  </si>
  <si>
    <t>2e 22/23 - 1e 23</t>
  </si>
  <si>
    <t>2e 22/23 - 2e 23</t>
  </si>
  <si>
    <t>1e 23 - 2e 23</t>
  </si>
  <si>
    <t>2e 23 - 1e 24</t>
  </si>
  <si>
    <t>bedrag per leerling</t>
  </si>
  <si>
    <t>bedrag per school (tot en met 99 leerlingen)</t>
  </si>
  <si>
    <t>bedrag per school (100 lln en meer)</t>
  </si>
  <si>
    <t>kleine scholen toeslag startbedrag</t>
  </si>
  <si>
    <t>kleine scholen verminderingsbedrag</t>
  </si>
  <si>
    <t>zeer kleine scholen toeslag startbedrag</t>
  </si>
  <si>
    <t>bedrag per nevenvestiging</t>
  </si>
  <si>
    <t>bedrag per eenheid achterstandsscore</t>
  </si>
  <si>
    <t>vast bedrag NOAT</t>
  </si>
  <si>
    <t>bedrag per NOAT-leerling</t>
  </si>
  <si>
    <t>vast bedrag per IGBO-afdeling</t>
  </si>
  <si>
    <t>bedrag per IGBO-leerling</t>
  </si>
  <si>
    <t>bedrag per leerling groei</t>
  </si>
  <si>
    <t>bedrag azk (hoog)</t>
  </si>
  <si>
    <t>bedrag azk en ov (laag)</t>
  </si>
  <si>
    <t>eenmalig bedrag voor eerste aanvraag azk</t>
  </si>
  <si>
    <t>tweedejaars asielzoekers</t>
  </si>
  <si>
    <t>opvang asielzoekerskinderen in POL/GLO</t>
  </si>
  <si>
    <t>bedrag per schipperskind</t>
  </si>
  <si>
    <t>bedrag per leerling Roma / Sinti</t>
  </si>
  <si>
    <t>bedrag per leerling uit BVMLH</t>
  </si>
  <si>
    <t>SBO</t>
  </si>
  <si>
    <t>basisbedrag per leerling</t>
  </si>
  <si>
    <t>vast bedrag per nevenvestiging</t>
  </si>
  <si>
    <t>bedrag per CUMI- leerling</t>
  </si>
  <si>
    <t>ondersteuningsbedrag per leerling SBO</t>
  </si>
  <si>
    <t>bedrag per nieuwkomer</t>
  </si>
  <si>
    <t>(V)SO</t>
  </si>
  <si>
    <t>basisbedrag per leerling SO</t>
  </si>
  <si>
    <t>basisbedrag per leerling (V)SO</t>
  </si>
  <si>
    <t>bedrag per SO school (tot en met 49 leerlingen)</t>
  </si>
  <si>
    <t>bedrag per SO school (50 lln en meer)</t>
  </si>
  <si>
    <t>bedrag per VSO school (tot en met 49 leerlingen)</t>
  </si>
  <si>
    <t>bedrag per VSO school (50 lln en meer)</t>
  </si>
  <si>
    <t>bedrag per brancardlift</t>
  </si>
  <si>
    <t>bedrag per hydrotherapiebad</t>
  </si>
  <si>
    <t>bedrag per m3 hydrotherapiebad</t>
  </si>
  <si>
    <t>bedrag per watergewenningsbad</t>
  </si>
  <si>
    <t>bedrag per m3 watergewenningsbad</t>
  </si>
  <si>
    <t>bedrag per beweegbare bodem</t>
  </si>
  <si>
    <t>bedrag per m3 beweegbare bodem</t>
  </si>
  <si>
    <t>ondersteuningsbedrag per leerling SO cat. 1</t>
  </si>
  <si>
    <t>ondersteuningsbedrag per leerling SO cat. 2</t>
  </si>
  <si>
    <t>ondersteuningsbedrag per leerling SO cat. 3</t>
  </si>
  <si>
    <t>ondersteuningsbedrag per leerling VSO cat. 1</t>
  </si>
  <si>
    <t>ondersteuningsbedrag per leerling VSO cat. 2</t>
  </si>
  <si>
    <t>ondersteuningsbedrag per leerling VSO cat. 3</t>
  </si>
  <si>
    <t>bedrag per vestiging GJI/JJI</t>
  </si>
  <si>
    <t>bedrag per capaciteitsplek GJI</t>
  </si>
  <si>
    <t>bedrag per onbezette capaciteitsplek</t>
  </si>
  <si>
    <t>SWV</t>
  </si>
  <si>
    <t>bedrag lichte ondersteuning  per leerling BAS</t>
  </si>
  <si>
    <t>bedrag zware ondersteuning per leerling BAS en SBO</t>
  </si>
  <si>
    <t>schoolmaatschappelijk werk</t>
  </si>
  <si>
    <t>bedrag regionale ondersteuning  per leerling VO</t>
  </si>
  <si>
    <t>bedrag ondersteuning LWOO/PRO</t>
  </si>
  <si>
    <t>bedrag zware ondersteuning per leerling VO</t>
  </si>
  <si>
    <t>Overgangsperiode</t>
  </si>
  <si>
    <t xml:space="preserve">overgangspercentage </t>
  </si>
  <si>
    <t>maximaal negatief herverdeeleffect</t>
  </si>
  <si>
    <t>maximaal positief herverdeeleffect</t>
  </si>
  <si>
    <t>Afwijkend percentage indexatie voor overgangsregeling (zie onderdeel A)</t>
  </si>
  <si>
    <t>Overige</t>
  </si>
  <si>
    <t xml:space="preserve">Professionalisering en begeleiding van starters en schoolleiders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</si>
</sst>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43" formatCode="_ * #,##0.00_ ;_ * \-#,##0.00_ ;_ * &quot;-&quot;??_ ;_ @_ "/>
    <numFmt numFmtId="164" formatCode="_-&quot;€&quot;\ * #,##0.00_-;_-&quot;€&quot;\ * #,##0.00\-;_-&quot;€&quot;\ * &quot;-&quot;??_-;_-@_-"/>
    <numFmt numFmtId="165" formatCode="[$-413]d/mmm/yy;@"/>
    <numFmt numFmtId="166" formatCode="_ &quot;€&quot;\ * #,##0_ ;_ &quot;€&quot;\ * \-#,##0_ ;_ &quot;€&quot;\ * &quot;-&quot;??_ ;_ @_ "/>
    <numFmt numFmtId="167" formatCode="#,##0_ ;\-#,##0\ "/>
    <numFmt numFmtId="168" formatCode="#,##0.0"/>
    <numFmt numFmtId="169" formatCode="0.0000%"/>
    <numFmt numFmtId="170" formatCode="0.000%"/>
    <numFmt numFmtId="171" formatCode="0.0%"/>
  </numFmts>
  <fonts count="56"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9"/>
      <color indexed="81"/>
      <name val="Tahoma"/>
      <family val="2"/>
    </font>
    <font>
      <i/>
      <sz val="10"/>
      <color theme="1"/>
      <name val="Calibri"/>
      <family val="2"/>
      <scheme val="minor"/>
    </font>
    <font>
      <b/>
      <i/>
      <sz val="10"/>
      <color theme="1"/>
      <name val="Calibri"/>
      <family val="2"/>
      <scheme val="minor"/>
    </font>
    <font>
      <sz val="10"/>
      <color rgb="FFC00000"/>
      <name val="Calibri"/>
      <family val="2"/>
      <scheme val="minor"/>
    </font>
    <font>
      <sz val="12"/>
      <color theme="1"/>
      <name val="Calibri"/>
      <family val="2"/>
      <scheme val="minor"/>
    </font>
    <font>
      <sz val="12"/>
      <color rgb="FFC00000"/>
      <name val="Calibri"/>
      <family val="2"/>
      <scheme val="minor"/>
    </font>
    <font>
      <i/>
      <sz val="10"/>
      <color theme="1" tint="0.249977111117893"/>
      <name val="Calibri"/>
      <family val="2"/>
      <scheme val="minor"/>
    </font>
    <font>
      <i/>
      <sz val="10"/>
      <color indexed="63" tint="0.249977111117893"/>
      <name val="Calibri"/>
      <family val="2"/>
      <scheme val="minor"/>
    </font>
    <font>
      <i/>
      <sz val="10"/>
      <color indexed="63"/>
      <name val="Calibri"/>
      <family val="2"/>
      <scheme val="minor"/>
    </font>
    <font>
      <i/>
      <sz val="10"/>
      <color theme="1" tint="0.499984740745262"/>
      <name val="Calibri"/>
      <family val="2"/>
      <scheme val="minor"/>
    </font>
    <font>
      <sz val="10"/>
      <color theme="1" tint="0.249977111117893"/>
      <name val="Calibri"/>
      <family val="2"/>
      <scheme val="minor"/>
    </font>
    <font>
      <sz val="10"/>
      <name val="Calibri"/>
      <family val="2"/>
      <scheme val="minor"/>
    </font>
    <font>
      <i/>
      <sz val="10"/>
      <color theme="1" tint="0.14999847407452621"/>
      <name val="Calibri"/>
      <family val="2"/>
      <scheme val="minor"/>
    </font>
    <font>
      <b/>
      <i/>
      <sz val="10"/>
      <color theme="1" tint="0.499984740745262"/>
      <name val="Calibri"/>
      <family val="2"/>
      <scheme val="minor"/>
    </font>
    <font>
      <i/>
      <sz val="10"/>
      <color rgb="FF002060"/>
      <name val="Calibri"/>
      <family val="2"/>
      <scheme val="minor"/>
    </font>
    <font>
      <sz val="10"/>
      <color rgb="FF002060"/>
      <name val="Calibri"/>
      <family val="2"/>
      <scheme val="minor"/>
    </font>
    <font>
      <u/>
      <sz val="11"/>
      <color theme="10"/>
      <name val="Calibri"/>
      <family val="2"/>
      <scheme val="minor"/>
    </font>
    <font>
      <sz val="10"/>
      <color theme="8" tint="-0.249977111117893"/>
      <name val="Calibri"/>
      <family val="2"/>
      <scheme val="minor"/>
    </font>
    <font>
      <sz val="10"/>
      <color theme="4"/>
      <name val="Calibri"/>
      <family val="2"/>
      <scheme val="minor"/>
    </font>
    <font>
      <u/>
      <sz val="10"/>
      <color theme="10"/>
      <name val="Calibri"/>
      <family val="2"/>
      <scheme val="minor"/>
    </font>
    <font>
      <i/>
      <sz val="11"/>
      <color theme="1"/>
      <name val="Calibri"/>
      <family val="2"/>
      <scheme val="minor"/>
    </font>
    <font>
      <sz val="8.5"/>
      <color theme="1"/>
      <name val="Verdana"/>
      <family val="2"/>
    </font>
    <font>
      <b/>
      <i/>
      <sz val="10"/>
      <name val="Calibri"/>
      <family val="2"/>
      <scheme val="minor"/>
    </font>
    <font>
      <sz val="10"/>
      <color theme="0" tint="-0.499984740745262"/>
      <name val="Calibri"/>
      <family val="2"/>
      <scheme val="minor"/>
    </font>
    <font>
      <u/>
      <sz val="9"/>
      <color theme="10"/>
      <name val="Calibri"/>
      <family val="2"/>
      <scheme val="minor"/>
    </font>
    <font>
      <sz val="9"/>
      <color theme="1"/>
      <name val="Calibri"/>
      <family val="2"/>
      <scheme val="minor"/>
    </font>
    <font>
      <sz val="11"/>
      <color rgb="FFC00000"/>
      <name val="Calibri"/>
      <family val="2"/>
      <scheme val="minor"/>
    </font>
    <font>
      <b/>
      <i/>
      <sz val="10"/>
      <color rgb="FF002060"/>
      <name val="Calibri"/>
      <family val="2"/>
      <scheme val="minor"/>
    </font>
    <font>
      <u/>
      <sz val="10"/>
      <color theme="1"/>
      <name val="Calibri"/>
      <family val="2"/>
      <scheme val="minor"/>
    </font>
    <font>
      <sz val="10"/>
      <color theme="0"/>
      <name val="Calibri"/>
      <family val="2"/>
      <scheme val="minor"/>
    </font>
    <font>
      <b/>
      <sz val="10"/>
      <color theme="0"/>
      <name val="Calibri"/>
      <family val="2"/>
      <scheme val="minor"/>
    </font>
    <font>
      <i/>
      <sz val="10"/>
      <name val="Calibri"/>
      <family val="2"/>
      <scheme val="minor"/>
    </font>
    <font>
      <b/>
      <sz val="10"/>
      <name val="Calibri"/>
      <family val="2"/>
      <scheme val="minor"/>
    </font>
    <font>
      <sz val="10"/>
      <color theme="1" tint="0.499984740745262"/>
      <name val="Calibri"/>
      <family val="2"/>
      <scheme val="minor"/>
    </font>
    <font>
      <b/>
      <sz val="10"/>
      <color rgb="FF00B050"/>
      <name val="Calibri"/>
      <family val="2"/>
      <scheme val="minor"/>
    </font>
    <font>
      <b/>
      <i/>
      <sz val="10"/>
      <color indexed="63" tint="0.249977111117893"/>
      <name val="Calibri"/>
      <family val="2"/>
      <scheme val="minor"/>
    </font>
    <font>
      <sz val="10"/>
      <name val="Arial"/>
      <family val="2"/>
    </font>
    <font>
      <u/>
      <sz val="10"/>
      <color indexed="12"/>
      <name val="Arial"/>
      <family val="2"/>
    </font>
    <font>
      <sz val="10"/>
      <name val="Arial"/>
      <family val="2"/>
    </font>
    <font>
      <u/>
      <sz val="11"/>
      <color theme="1"/>
      <name val="Calibri"/>
      <family val="2"/>
      <scheme val="minor"/>
    </font>
    <font>
      <i/>
      <sz val="10"/>
      <color rgb="FFFF0000"/>
      <name val="Calibri"/>
      <family val="2"/>
      <scheme val="minor"/>
    </font>
    <font>
      <sz val="10"/>
      <color theme="1"/>
      <name val="Verdana"/>
      <family val="2"/>
    </font>
    <font>
      <b/>
      <sz val="10"/>
      <color rgb="FFFF0000"/>
      <name val="Calibri"/>
      <family val="2"/>
      <scheme val="minor"/>
    </font>
    <font>
      <i/>
      <sz val="10"/>
      <color rgb="FFC00000"/>
      <name val="Calibri"/>
      <family val="2"/>
      <scheme val="minor"/>
    </font>
    <font>
      <i/>
      <u/>
      <sz val="10"/>
      <color theme="10"/>
      <name val="Calibri"/>
      <family val="2"/>
      <scheme val="minor"/>
    </font>
    <font>
      <b/>
      <u/>
      <sz val="10"/>
      <color theme="10"/>
      <name val="Calibri"/>
      <family val="2"/>
      <scheme val="minor"/>
    </font>
    <font>
      <sz val="12"/>
      <color theme="0" tint="-0.249977111117893"/>
      <name val="Calibri"/>
      <family val="2"/>
      <scheme val="minor"/>
    </font>
    <font>
      <i/>
      <sz val="10"/>
      <color theme="0" tint="-0.249977111117893"/>
      <name val="Calibri"/>
      <family val="2"/>
      <scheme val="minor"/>
    </font>
    <font>
      <sz val="10"/>
      <color theme="0" tint="-0.249977111117893"/>
      <name val="Calibri"/>
      <family val="2"/>
      <scheme val="minor"/>
    </font>
    <font>
      <b/>
      <i/>
      <sz val="10"/>
      <color theme="0" tint="-0.249977111117893"/>
      <name val="Calibri"/>
      <family val="2"/>
      <scheme val="minor"/>
    </font>
    <font>
      <i/>
      <sz val="12"/>
      <color theme="0" tint="-0.249977111117893"/>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theme="9" tint="0.59999389629810485"/>
        <bgColor indexed="64"/>
      </patternFill>
    </fill>
  </fills>
  <borders count="27">
    <border>
      <left/>
      <right/>
      <top/>
      <bottom/>
      <diagonal/>
    </border>
    <border>
      <left style="thin">
        <color rgb="FFFFFFFF"/>
      </left>
      <right style="thin">
        <color rgb="FFFFFFFF"/>
      </right>
      <top style="thin">
        <color rgb="FFFFFFFF"/>
      </top>
      <bottom style="thin">
        <color rgb="FFFFFFFF"/>
      </bottom>
      <diagonal/>
    </border>
    <border>
      <left style="thin">
        <color theme="0"/>
      </left>
      <right style="thin">
        <color theme="0"/>
      </right>
      <top style="thin">
        <color theme="0"/>
      </top>
      <bottom style="thin">
        <color theme="0"/>
      </bottom>
      <diagonal/>
    </border>
    <border>
      <left style="thin">
        <color rgb="FFFFFFFF"/>
      </left>
      <right style="thin">
        <color rgb="FFFFFFFF"/>
      </right>
      <top style="thin">
        <color rgb="FFFFFFFF"/>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FFFF"/>
      </left>
      <right style="thin">
        <color rgb="FFFFFFFF"/>
      </right>
      <top/>
      <bottom style="thin">
        <color rgb="FFFFFFFF"/>
      </bottom>
      <diagonal/>
    </border>
    <border>
      <left style="thin">
        <color theme="0"/>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right/>
      <top/>
      <bottom style="thin">
        <color theme="0"/>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xf numFmtId="0" fontId="26" fillId="0" borderId="0"/>
    <xf numFmtId="0" fontId="41" fillId="0" borderId="0"/>
    <xf numFmtId="0" fontId="42" fillId="0" borderId="0" applyNumberFormat="0" applyFill="0" applyBorder="0" applyAlignment="0" applyProtection="0">
      <alignment vertical="top"/>
      <protection locked="0"/>
    </xf>
    <xf numFmtId="44" fontId="43" fillId="0" borderId="0" applyFont="0" applyFill="0" applyBorder="0" applyAlignment="0" applyProtection="0"/>
  </cellStyleXfs>
  <cellXfs count="264">
    <xf numFmtId="0" fontId="0" fillId="0" borderId="0" xfId="0"/>
    <xf numFmtId="0" fontId="2" fillId="0" borderId="0" xfId="0" applyFont="1"/>
    <xf numFmtId="44" fontId="2" fillId="0" borderId="0" xfId="0" applyNumberFormat="1" applyFont="1"/>
    <xf numFmtId="0" fontId="3" fillId="0" borderId="0" xfId="0" applyFont="1"/>
    <xf numFmtId="0" fontId="2" fillId="0" borderId="0" xfId="0" applyFont="1" applyAlignment="1">
      <alignment horizontal="center"/>
    </xf>
    <xf numFmtId="0" fontId="3" fillId="0" borderId="0" xfId="0" applyFont="1" applyAlignment="1">
      <alignment horizontal="center"/>
    </xf>
    <xf numFmtId="44" fontId="3" fillId="0" borderId="0" xfId="0" applyNumberFormat="1" applyFont="1"/>
    <xf numFmtId="0" fontId="6" fillId="0" borderId="0" xfId="0" applyFont="1"/>
    <xf numFmtId="0" fontId="4" fillId="0" borderId="0" xfId="0" applyFont="1"/>
    <xf numFmtId="0" fontId="10" fillId="0" borderId="0" xfId="0" applyFont="1"/>
    <xf numFmtId="0" fontId="12" fillId="0" borderId="0" xfId="0" applyFont="1" applyAlignment="1">
      <alignment horizontal="right"/>
    </xf>
    <xf numFmtId="0" fontId="12" fillId="0" borderId="0" xfId="0" applyFont="1"/>
    <xf numFmtId="0" fontId="12" fillId="0" borderId="0" xfId="0" applyFont="1" applyAlignment="1">
      <alignment horizontal="center"/>
    </xf>
    <xf numFmtId="14" fontId="12" fillId="0" borderId="0" xfId="0" applyNumberFormat="1" applyFont="1" applyAlignment="1">
      <alignment horizontal="center"/>
    </xf>
    <xf numFmtId="0" fontId="7" fillId="0" borderId="0" xfId="0" applyFont="1"/>
    <xf numFmtId="0" fontId="9" fillId="0" borderId="0" xfId="0" applyFont="1"/>
    <xf numFmtId="0" fontId="16" fillId="0" borderId="0" xfId="0" applyFont="1"/>
    <xf numFmtId="0" fontId="11" fillId="0" borderId="0" xfId="0" applyFont="1" applyAlignment="1">
      <alignment horizontal="right"/>
    </xf>
    <xf numFmtId="0" fontId="15" fillId="0" borderId="0" xfId="0" applyFont="1"/>
    <xf numFmtId="14" fontId="11" fillId="0" borderId="0" xfId="0" applyNumberFormat="1" applyFont="1" applyAlignment="1">
      <alignment horizontal="center"/>
    </xf>
    <xf numFmtId="0" fontId="2" fillId="0" borderId="5" xfId="0" applyFont="1" applyBorder="1"/>
    <xf numFmtId="0" fontId="2" fillId="0" borderId="6" xfId="0" applyFont="1" applyBorder="1"/>
    <xf numFmtId="44" fontId="2" fillId="0" borderId="6" xfId="0" applyNumberFormat="1"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2" xfId="0" applyFont="1" applyBorder="1"/>
    <xf numFmtId="0" fontId="3" fillId="0" borderId="11" xfId="0" applyFont="1" applyBorder="1"/>
    <xf numFmtId="44" fontId="7" fillId="0" borderId="11" xfId="0" applyNumberFormat="1" applyFont="1" applyBorder="1"/>
    <xf numFmtId="0" fontId="6" fillId="0" borderId="6" xfId="0" applyFont="1" applyBorder="1"/>
    <xf numFmtId="0" fontId="2" fillId="0" borderId="11" xfId="0" applyFont="1" applyBorder="1"/>
    <xf numFmtId="0" fontId="9"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17" fillId="0" borderId="0" xfId="0" applyFont="1" applyAlignment="1">
      <alignment horizontal="center"/>
    </xf>
    <xf numFmtId="44" fontId="2" fillId="0" borderId="0" xfId="1" applyFont="1" applyFill="1" applyBorder="1" applyProtection="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18" fillId="0" borderId="0" xfId="0" applyFont="1"/>
    <xf numFmtId="0" fontId="14" fillId="0" borderId="0" xfId="0" applyFont="1" applyAlignment="1">
      <alignment horizontal="center"/>
    </xf>
    <xf numFmtId="13" fontId="2" fillId="0" borderId="0" xfId="0" applyNumberFormat="1" applyFont="1"/>
    <xf numFmtId="0" fontId="4" fillId="0" borderId="0" xfId="0" quotePrefix="1" applyFont="1"/>
    <xf numFmtId="0" fontId="20" fillId="0" borderId="0" xfId="0" applyFont="1"/>
    <xf numFmtId="0" fontId="8" fillId="0" borderId="0" xfId="0" applyFont="1"/>
    <xf numFmtId="44" fontId="8" fillId="0" borderId="0" xfId="0" applyNumberFormat="1" applyFont="1"/>
    <xf numFmtId="43" fontId="2" fillId="0" borderId="0" xfId="4" applyFont="1" applyFill="1" applyBorder="1" applyProtection="1"/>
    <xf numFmtId="3" fontId="2" fillId="3" borderId="1" xfId="0" applyNumberFormat="1" applyFont="1" applyFill="1" applyBorder="1" applyAlignment="1" applyProtection="1">
      <alignment horizontal="center"/>
      <protection locked="0"/>
    </xf>
    <xf numFmtId="3" fontId="2" fillId="3" borderId="3" xfId="0" applyNumberFormat="1" applyFont="1" applyFill="1" applyBorder="1" applyAlignment="1" applyProtection="1">
      <alignment horizontal="center"/>
      <protection locked="0"/>
    </xf>
    <xf numFmtId="3" fontId="2" fillId="3" borderId="15" xfId="0" applyNumberFormat="1"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0" borderId="0" xfId="0" applyFont="1" applyAlignment="1">
      <alignment horizontal="left" indent="2"/>
    </xf>
    <xf numFmtId="0" fontId="2" fillId="3" borderId="2" xfId="0" applyFont="1" applyFill="1" applyBorder="1" applyProtection="1">
      <protection locked="0"/>
    </xf>
    <xf numFmtId="0" fontId="2" fillId="0" borderId="0" xfId="0" applyFont="1" applyProtection="1">
      <protection locked="0"/>
    </xf>
    <xf numFmtId="0" fontId="2" fillId="3" borderId="25" xfId="0" applyFont="1" applyFill="1" applyBorder="1" applyProtection="1">
      <protection locked="0"/>
    </xf>
    <xf numFmtId="0" fontId="24" fillId="0" borderId="0" xfId="5" applyFont="1" applyFill="1" applyBorder="1" applyProtection="1"/>
    <xf numFmtId="166" fontId="2" fillId="0" borderId="0" xfId="0" applyNumberFormat="1" applyFont="1"/>
    <xf numFmtId="166" fontId="2" fillId="0" borderId="23" xfId="0" applyNumberFormat="1" applyFont="1" applyBorder="1"/>
    <xf numFmtId="166" fontId="2" fillId="0" borderId="11" xfId="0" applyNumberFormat="1" applyFont="1" applyBorder="1"/>
    <xf numFmtId="0" fontId="25" fillId="0" borderId="0" xfId="0" applyFont="1"/>
    <xf numFmtId="0" fontId="3" fillId="0" borderId="6" xfId="0" applyFont="1" applyBorder="1"/>
    <xf numFmtId="44" fontId="7" fillId="0" borderId="6" xfId="0" applyNumberFormat="1" applyFont="1" applyBorder="1"/>
    <xf numFmtId="0" fontId="3" fillId="0" borderId="23" xfId="0" applyFont="1" applyBorder="1"/>
    <xf numFmtId="0" fontId="16" fillId="0" borderId="0" xfId="0" quotePrefix="1" applyFont="1" applyAlignment="1">
      <alignment horizontal="left"/>
    </xf>
    <xf numFmtId="0" fontId="2" fillId="3" borderId="16" xfId="0" applyFont="1" applyFill="1" applyBorder="1" applyAlignment="1" applyProtection="1">
      <alignment horizontal="center"/>
      <protection locked="0"/>
    </xf>
    <xf numFmtId="0" fontId="0" fillId="0" borderId="0" xfId="0" applyAlignment="1">
      <alignment horizontal="left" vertical="center" indent="1"/>
    </xf>
    <xf numFmtId="0" fontId="27" fillId="0" borderId="0" xfId="0" quotePrefix="1" applyFont="1" applyAlignment="1">
      <alignment horizontal="left"/>
    </xf>
    <xf numFmtId="0" fontId="21" fillId="0" borderId="0" xfId="5"/>
    <xf numFmtId="0" fontId="0" fillId="0" borderId="0" xfId="0" applyAlignment="1">
      <alignment wrapText="1"/>
    </xf>
    <xf numFmtId="0" fontId="21" fillId="0" borderId="0" xfId="5" applyAlignment="1">
      <alignment wrapText="1"/>
    </xf>
    <xf numFmtId="14" fontId="25" fillId="0" borderId="0" xfId="0" applyNumberFormat="1" applyFont="1"/>
    <xf numFmtId="0" fontId="0" fillId="0" borderId="0" xfId="0" applyAlignment="1">
      <alignment vertical="top" wrapText="1"/>
    </xf>
    <xf numFmtId="166" fontId="28" fillId="0" borderId="0" xfId="0" applyNumberFormat="1" applyFont="1"/>
    <xf numFmtId="0" fontId="29" fillId="0" borderId="0" xfId="5" applyFont="1"/>
    <xf numFmtId="0" fontId="30" fillId="0" borderId="0" xfId="0" applyFont="1"/>
    <xf numFmtId="0" fontId="3" fillId="0" borderId="0" xfId="0" applyFont="1" applyAlignment="1">
      <alignment horizontal="right"/>
    </xf>
    <xf numFmtId="44" fontId="2" fillId="0" borderId="0" xfId="0" applyNumberFormat="1" applyFont="1" applyAlignment="1">
      <alignment horizontal="center"/>
    </xf>
    <xf numFmtId="44" fontId="2" fillId="3" borderId="1" xfId="0" applyNumberFormat="1" applyFont="1" applyFill="1" applyBorder="1" applyAlignment="1" applyProtection="1">
      <alignment horizontal="center"/>
      <protection locked="0"/>
    </xf>
    <xf numFmtId="4" fontId="2" fillId="3" borderId="1" xfId="0" applyNumberFormat="1" applyFont="1" applyFill="1" applyBorder="1" applyAlignment="1" applyProtection="1">
      <alignment horizontal="center"/>
      <protection locked="0"/>
    </xf>
    <xf numFmtId="44" fontId="2" fillId="3" borderId="2" xfId="1" applyFont="1" applyFill="1" applyBorder="1" applyProtection="1">
      <protection locked="0"/>
    </xf>
    <xf numFmtId="44" fontId="24" fillId="0" borderId="0" xfId="5" applyNumberFormat="1" applyFont="1" applyFill="1" applyBorder="1" applyAlignment="1" applyProtection="1">
      <alignment horizontal="left"/>
    </xf>
    <xf numFmtId="44" fontId="22" fillId="0" borderId="0" xfId="1" applyFont="1" applyFill="1" applyBorder="1" applyProtection="1"/>
    <xf numFmtId="44" fontId="2" fillId="0" borderId="0" xfId="1" applyFont="1" applyFill="1" applyBorder="1" applyAlignment="1" applyProtection="1">
      <alignment horizontal="center"/>
    </xf>
    <xf numFmtId="44" fontId="2" fillId="0" borderId="0" xfId="2" applyNumberFormat="1" applyFont="1" applyFill="1" applyBorder="1" applyAlignment="1" applyProtection="1">
      <alignment horizontal="center"/>
    </xf>
    <xf numFmtId="44" fontId="20" fillId="0" borderId="0" xfId="1" applyFont="1" applyFill="1" applyBorder="1" applyProtection="1"/>
    <xf numFmtId="44" fontId="19" fillId="0" borderId="0" xfId="1" applyFont="1" applyFill="1" applyBorder="1" applyProtection="1"/>
    <xf numFmtId="44" fontId="7" fillId="0" borderId="0" xfId="1" applyFont="1" applyFill="1" applyBorder="1" applyProtection="1"/>
    <xf numFmtId="44" fontId="2" fillId="3" borderId="1" xfId="1" applyFont="1" applyFill="1" applyBorder="1" applyAlignment="1" applyProtection="1">
      <alignment horizontal="center"/>
      <protection locked="0"/>
    </xf>
    <xf numFmtId="44" fontId="20" fillId="0" borderId="0" xfId="2" applyNumberFormat="1" applyFont="1" applyFill="1" applyBorder="1" applyAlignment="1" applyProtection="1">
      <alignment horizontal="center"/>
    </xf>
    <xf numFmtId="44" fontId="2" fillId="3" borderId="2" xfId="1" applyFont="1" applyFill="1" applyBorder="1" applyAlignment="1" applyProtection="1">
      <alignment horizontal="center"/>
      <protection locked="0"/>
    </xf>
    <xf numFmtId="44" fontId="23" fillId="0" borderId="0" xfId="1" applyFont="1" applyFill="1" applyBorder="1" applyProtection="1"/>
    <xf numFmtId="44" fontId="2" fillId="3" borderId="0" xfId="1" applyFont="1" applyFill="1" applyBorder="1" applyProtection="1">
      <protection locked="0"/>
    </xf>
    <xf numFmtId="44" fontId="2" fillId="0" borderId="23" xfId="0" applyNumberFormat="1" applyFont="1" applyBorder="1"/>
    <xf numFmtId="44" fontId="2" fillId="0" borderId="18" xfId="0" applyNumberFormat="1" applyFont="1" applyBorder="1"/>
    <xf numFmtId="44" fontId="2" fillId="0" borderId="0" xfId="1" applyFont="1" applyBorder="1"/>
    <xf numFmtId="44" fontId="3" fillId="0" borderId="0" xfId="1" applyFont="1" applyBorder="1"/>
    <xf numFmtId="9" fontId="2" fillId="0" borderId="0" xfId="2" applyFont="1" applyFill="1" applyBorder="1" applyAlignment="1" applyProtection="1">
      <alignment horizontal="center"/>
    </xf>
    <xf numFmtId="1" fontId="2" fillId="3" borderId="2" xfId="0" applyNumberFormat="1" applyFont="1" applyFill="1" applyBorder="1" applyAlignment="1" applyProtection="1">
      <alignment horizontal="center"/>
      <protection locked="0"/>
    </xf>
    <xf numFmtId="1" fontId="2" fillId="0" borderId="0" xfId="0" applyNumberFormat="1" applyFont="1" applyAlignment="1">
      <alignment horizontal="center"/>
    </xf>
    <xf numFmtId="1" fontId="14" fillId="0" borderId="0" xfId="0" applyNumberFormat="1" applyFont="1" applyAlignment="1">
      <alignment horizontal="center"/>
    </xf>
    <xf numFmtId="1" fontId="2" fillId="0" borderId="0" xfId="0" applyNumberFormat="1" applyFont="1"/>
    <xf numFmtId="167" fontId="2" fillId="0" borderId="0" xfId="1" applyNumberFormat="1" applyFont="1" applyFill="1" applyBorder="1" applyAlignment="1" applyProtection="1">
      <alignment horizontal="center"/>
    </xf>
    <xf numFmtId="44" fontId="3" fillId="6" borderId="2" xfId="0" applyNumberFormat="1" applyFont="1" applyFill="1" applyBorder="1"/>
    <xf numFmtId="0" fontId="32" fillId="0" borderId="0" xfId="0" applyFont="1" applyAlignment="1">
      <alignment horizontal="left"/>
    </xf>
    <xf numFmtId="168" fontId="2" fillId="3" borderId="1" xfId="0" applyNumberFormat="1" applyFont="1" applyFill="1" applyBorder="1" applyAlignment="1" applyProtection="1">
      <alignment horizontal="center"/>
      <protection locked="0"/>
    </xf>
    <xf numFmtId="44" fontId="34" fillId="0" borderId="0" xfId="0" applyNumberFormat="1" applyFont="1"/>
    <xf numFmtId="44" fontId="35" fillId="0" borderId="0" xfId="0" applyNumberFormat="1" applyFont="1"/>
    <xf numFmtId="0" fontId="3" fillId="0" borderId="23" xfId="0" applyFont="1" applyBorder="1" applyAlignment="1">
      <alignment horizontal="center"/>
    </xf>
    <xf numFmtId="44" fontId="16" fillId="0" borderId="0" xfId="1" applyFont="1" applyFill="1" applyBorder="1" applyAlignment="1" applyProtection="1">
      <alignment horizontal="left"/>
    </xf>
    <xf numFmtId="44" fontId="16" fillId="0" borderId="0" xfId="1" applyFont="1" applyFill="1" applyBorder="1" applyProtection="1"/>
    <xf numFmtId="0" fontId="16" fillId="0" borderId="0" xfId="1" applyNumberFormat="1" applyFont="1" applyFill="1" applyBorder="1" applyAlignment="1" applyProtection="1">
      <alignment horizontal="center"/>
    </xf>
    <xf numFmtId="44" fontId="16" fillId="0" borderId="0" xfId="1" applyFont="1" applyFill="1" applyBorder="1" applyAlignment="1" applyProtection="1">
      <alignment horizontal="center"/>
    </xf>
    <xf numFmtId="3" fontId="16" fillId="0" borderId="0" xfId="1" applyNumberFormat="1" applyFont="1" applyFill="1" applyBorder="1" applyAlignment="1" applyProtection="1">
      <alignment horizontal="center"/>
    </xf>
    <xf numFmtId="9" fontId="16" fillId="0" borderId="0" xfId="2" applyFont="1" applyFill="1" applyBorder="1" applyAlignment="1" applyProtection="1">
      <alignment horizontal="center"/>
    </xf>
    <xf numFmtId="44" fontId="16" fillId="0" borderId="0" xfId="2" applyNumberFormat="1" applyFont="1" applyFill="1" applyBorder="1" applyProtection="1"/>
    <xf numFmtId="44" fontId="16" fillId="0" borderId="0" xfId="2" applyNumberFormat="1" applyFont="1" applyFill="1" applyBorder="1" applyAlignment="1" applyProtection="1">
      <alignment horizontal="center"/>
    </xf>
    <xf numFmtId="44" fontId="36" fillId="0" borderId="0" xfId="1" applyFont="1" applyFill="1" applyBorder="1" applyProtection="1"/>
    <xf numFmtId="44" fontId="27" fillId="0" borderId="0" xfId="1" applyFont="1" applyFill="1" applyBorder="1" applyProtection="1"/>
    <xf numFmtId="44" fontId="37" fillId="0" borderId="0" xfId="1" applyFont="1" applyFill="1" applyBorder="1" applyProtection="1"/>
    <xf numFmtId="0" fontId="38" fillId="0" borderId="0" xfId="0" applyFont="1"/>
    <xf numFmtId="44" fontId="38" fillId="0" borderId="0" xfId="1" applyFont="1" applyFill="1" applyBorder="1" applyProtection="1"/>
    <xf numFmtId="44" fontId="38" fillId="0" borderId="0" xfId="2" applyNumberFormat="1" applyFont="1" applyFill="1" applyBorder="1" applyProtection="1"/>
    <xf numFmtId="9" fontId="38" fillId="0" borderId="0" xfId="2" applyFont="1" applyFill="1" applyBorder="1" applyProtection="1"/>
    <xf numFmtId="44" fontId="38" fillId="0" borderId="0" xfId="0" applyNumberFormat="1" applyFont="1"/>
    <xf numFmtId="0" fontId="14" fillId="0" borderId="0" xfId="0" applyFont="1"/>
    <xf numFmtId="44" fontId="14" fillId="0" borderId="0" xfId="1" applyFont="1" applyFill="1" applyBorder="1" applyProtection="1"/>
    <xf numFmtId="9" fontId="2" fillId="0" borderId="0" xfId="2" applyFont="1" applyFill="1" applyBorder="1" applyProtection="1"/>
    <xf numFmtId="44" fontId="39" fillId="0" borderId="0" xfId="1" applyFont="1" applyFill="1" applyBorder="1" applyAlignment="1" applyProtection="1">
      <alignment horizontal="left" indent="1"/>
    </xf>
    <xf numFmtId="44" fontId="39" fillId="0" borderId="0" xfId="2" applyNumberFormat="1" applyFont="1" applyFill="1" applyBorder="1" applyAlignment="1" applyProtection="1">
      <alignment horizontal="left" indent="1"/>
    </xf>
    <xf numFmtId="44" fontId="21" fillId="0" borderId="0" xfId="5" applyNumberFormat="1"/>
    <xf numFmtId="3" fontId="3" fillId="3" borderId="1" xfId="0" applyNumberFormat="1" applyFont="1" applyFill="1" applyBorder="1" applyAlignment="1" applyProtection="1">
      <alignment horizontal="center"/>
      <protection locked="0"/>
    </xf>
    <xf numFmtId="168" fontId="3" fillId="3" borderId="1" xfId="0" applyNumberFormat="1" applyFont="1" applyFill="1" applyBorder="1" applyAlignment="1" applyProtection="1">
      <alignment horizontal="center"/>
      <protection locked="0"/>
    </xf>
    <xf numFmtId="168" fontId="2" fillId="0" borderId="0" xfId="0" applyNumberFormat="1" applyFont="1" applyAlignment="1">
      <alignment horizontal="center"/>
    </xf>
    <xf numFmtId="3" fontId="2" fillId="0" borderId="0" xfId="0" applyNumberFormat="1" applyFont="1" applyAlignment="1">
      <alignment horizontal="center"/>
    </xf>
    <xf numFmtId="3" fontId="3" fillId="0" borderId="0" xfId="0" applyNumberFormat="1" applyFont="1" applyAlignment="1">
      <alignment horizontal="center"/>
    </xf>
    <xf numFmtId="169" fontId="2" fillId="0" borderId="0" xfId="2" applyNumberFormat="1" applyFont="1" applyAlignment="1" applyProtection="1">
      <alignment horizontal="center"/>
    </xf>
    <xf numFmtId="9" fontId="2" fillId="0" borderId="0" xfId="2" applyFont="1" applyProtection="1"/>
    <xf numFmtId="44" fontId="2" fillId="0" borderId="0" xfId="1" applyFont="1"/>
    <xf numFmtId="0" fontId="3" fillId="0" borderId="18" xfId="0" applyFont="1" applyBorder="1" applyAlignment="1">
      <alignment horizontal="center"/>
    </xf>
    <xf numFmtId="1" fontId="2" fillId="0" borderId="0" xfId="1" applyNumberFormat="1" applyFont="1" applyFill="1" applyBorder="1" applyAlignment="1" applyProtection="1">
      <alignment horizontal="center"/>
    </xf>
    <xf numFmtId="0" fontId="2" fillId="3" borderId="3"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14" fontId="40" fillId="0" borderId="0" xfId="0" applyNumberFormat="1" applyFont="1" applyAlignment="1">
      <alignment horizontal="center"/>
    </xf>
    <xf numFmtId="0" fontId="16" fillId="0" borderId="0" xfId="5" applyFont="1" applyFill="1" applyBorder="1" applyProtection="1"/>
    <xf numFmtId="44" fontId="6" fillId="0" borderId="0" xfId="0" applyNumberFormat="1" applyFont="1"/>
    <xf numFmtId="0" fontId="2" fillId="0" borderId="0" xfId="0" applyFont="1" applyAlignment="1">
      <alignment vertical="top"/>
    </xf>
    <xf numFmtId="0" fontId="3" fillId="3" borderId="2" xfId="0" applyFont="1" applyFill="1" applyBorder="1" applyAlignment="1" applyProtection="1">
      <alignment horizontal="center" vertical="top"/>
      <protection locked="0"/>
    </xf>
    <xf numFmtId="0" fontId="6" fillId="0" borderId="0" xfId="0" applyFont="1" applyAlignment="1">
      <alignment horizontal="right" vertical="top"/>
    </xf>
    <xf numFmtId="165" fontId="36" fillId="3" borderId="2" xfId="5" applyNumberFormat="1" applyFont="1" applyFill="1" applyBorder="1" applyAlignment="1" applyProtection="1">
      <alignment horizontal="center" vertical="top"/>
      <protection locked="0"/>
    </xf>
    <xf numFmtId="165" fontId="6" fillId="3" borderId="2" xfId="0" applyNumberFormat="1" applyFont="1" applyFill="1" applyBorder="1" applyAlignment="1" applyProtection="1">
      <alignment horizontal="center" vertical="top"/>
      <protection locked="0"/>
    </xf>
    <xf numFmtId="14" fontId="6" fillId="0" borderId="0" xfId="0" applyNumberFormat="1" applyFont="1" applyAlignment="1">
      <alignment horizontal="center" vertical="top"/>
    </xf>
    <xf numFmtId="0" fontId="3" fillId="2" borderId="0" xfId="0" applyFont="1" applyFill="1" applyAlignment="1">
      <alignment vertical="top"/>
    </xf>
    <xf numFmtId="0" fontId="3" fillId="2" borderId="0" xfId="0" applyFont="1" applyFill="1" applyAlignment="1">
      <alignment horizontal="center" vertical="top"/>
    </xf>
    <xf numFmtId="0" fontId="3" fillId="0" borderId="0" xfId="0" applyFont="1" applyAlignment="1">
      <alignment horizontal="center" vertical="top"/>
    </xf>
    <xf numFmtId="0" fontId="3" fillId="0" borderId="0" xfId="0" applyFont="1" applyAlignment="1">
      <alignment vertical="top"/>
    </xf>
    <xf numFmtId="0" fontId="16" fillId="0" borderId="0" xfId="0" applyFont="1" applyAlignment="1">
      <alignment horizontal="left" vertical="top"/>
    </xf>
    <xf numFmtId="164" fontId="16" fillId="3" borderId="2" xfId="0" applyNumberFormat="1" applyFont="1" applyFill="1" applyBorder="1" applyAlignment="1" applyProtection="1">
      <alignment horizontal="left" vertical="top"/>
      <protection locked="0"/>
    </xf>
    <xf numFmtId="164" fontId="16" fillId="5" borderId="2" xfId="0" applyNumberFormat="1" applyFont="1" applyFill="1" applyBorder="1" applyAlignment="1" applyProtection="1">
      <alignment horizontal="left" vertical="top"/>
      <protection locked="0"/>
    </xf>
    <xf numFmtId="164" fontId="16" fillId="0" borderId="0" xfId="0" applyNumberFormat="1" applyFont="1" applyAlignment="1">
      <alignment horizontal="left" vertical="top"/>
    </xf>
    <xf numFmtId="44" fontId="2" fillId="5" borderId="16" xfId="1" applyFont="1" applyFill="1" applyBorder="1" applyAlignment="1" applyProtection="1">
      <alignment vertical="top"/>
      <protection locked="0"/>
    </xf>
    <xf numFmtId="44" fontId="2" fillId="5" borderId="16" xfId="0" applyNumberFormat="1" applyFont="1" applyFill="1" applyBorder="1" applyAlignment="1" applyProtection="1">
      <alignment vertical="top"/>
      <protection locked="0"/>
    </xf>
    <xf numFmtId="9" fontId="2" fillId="0" borderId="0" xfId="2" applyFont="1" applyAlignment="1" applyProtection="1">
      <alignment horizontal="center" vertical="top"/>
    </xf>
    <xf numFmtId="0" fontId="24" fillId="0" borderId="0" xfId="5" applyFont="1" applyFill="1" applyBorder="1" applyAlignment="1" applyProtection="1">
      <alignment vertical="top"/>
    </xf>
    <xf numFmtId="0" fontId="10" fillId="0" borderId="0" xfId="0" applyFont="1" applyAlignment="1">
      <alignment vertical="top"/>
    </xf>
    <xf numFmtId="0" fontId="9" fillId="0" borderId="0" xfId="0" applyFont="1" applyAlignment="1">
      <alignment vertical="top"/>
    </xf>
    <xf numFmtId="0" fontId="45" fillId="0" borderId="0" xfId="0" applyFont="1" applyAlignment="1">
      <alignment vertical="top"/>
    </xf>
    <xf numFmtId="0" fontId="46" fillId="0" borderId="0" xfId="0" applyFont="1" applyAlignment="1">
      <alignment vertical="center"/>
    </xf>
    <xf numFmtId="0" fontId="46" fillId="0" borderId="0" xfId="0" applyFont="1"/>
    <xf numFmtId="10" fontId="16" fillId="3" borderId="2" xfId="2" applyNumberFormat="1" applyFont="1" applyFill="1" applyBorder="1" applyAlignment="1" applyProtection="1">
      <alignment horizontal="center" vertical="top"/>
      <protection locked="0"/>
    </xf>
    <xf numFmtId="9" fontId="16" fillId="0" borderId="0" xfId="2" applyFont="1" applyAlignment="1">
      <alignment horizontal="center" vertical="top"/>
    </xf>
    <xf numFmtId="9" fontId="2" fillId="0" borderId="0" xfId="2" applyFont="1" applyAlignment="1">
      <alignment horizontal="center" vertical="top"/>
    </xf>
    <xf numFmtId="0" fontId="47" fillId="0" borderId="0" xfId="0" applyFont="1" applyAlignment="1">
      <alignment horizontal="center" vertical="top"/>
    </xf>
    <xf numFmtId="0" fontId="11" fillId="0" borderId="0" xfId="0" applyFont="1"/>
    <xf numFmtId="0" fontId="11" fillId="0" borderId="0" xfId="0" applyFont="1" applyAlignment="1">
      <alignment horizontal="center"/>
    </xf>
    <xf numFmtId="0" fontId="47" fillId="0" borderId="0" xfId="0" applyFont="1" applyAlignment="1">
      <alignment horizontal="center"/>
    </xf>
    <xf numFmtId="44" fontId="7" fillId="0" borderId="0" xfId="0" applyNumberFormat="1" applyFont="1" applyAlignment="1">
      <alignment horizontal="center"/>
    </xf>
    <xf numFmtId="0" fontId="20" fillId="0" borderId="8" xfId="0" applyFont="1" applyBorder="1"/>
    <xf numFmtId="0" fontId="19" fillId="0" borderId="0" xfId="0" applyFont="1" applyAlignment="1">
      <alignment horizontal="left" indent="2"/>
    </xf>
    <xf numFmtId="0" fontId="19" fillId="0" borderId="0" xfId="0" applyFont="1"/>
    <xf numFmtId="44" fontId="19" fillId="0" borderId="0" xfId="0" applyNumberFormat="1" applyFont="1" applyAlignment="1">
      <alignment horizontal="center"/>
    </xf>
    <xf numFmtId="0" fontId="20" fillId="0" borderId="9" xfId="0" applyFont="1" applyBorder="1"/>
    <xf numFmtId="0" fontId="4" fillId="0" borderId="9" xfId="0" applyFont="1" applyBorder="1"/>
    <xf numFmtId="44" fontId="7" fillId="0" borderId="0" xfId="0" applyNumberFormat="1" applyFont="1"/>
    <xf numFmtId="0" fontId="39" fillId="0" borderId="9" xfId="0" applyFont="1" applyBorder="1"/>
    <xf numFmtId="44" fontId="16" fillId="0" borderId="0" xfId="1" applyFont="1" applyProtection="1"/>
    <xf numFmtId="0" fontId="16" fillId="0" borderId="0" xfId="0" applyFont="1" applyAlignment="1">
      <alignment horizontal="center"/>
    </xf>
    <xf numFmtId="0" fontId="39" fillId="0" borderId="0" xfId="0" applyFont="1" applyAlignment="1">
      <alignment horizontal="left" indent="1"/>
    </xf>
    <xf numFmtId="9" fontId="16" fillId="0" borderId="0" xfId="2" applyFont="1" applyAlignment="1" applyProtection="1">
      <alignment horizontal="center"/>
    </xf>
    <xf numFmtId="0" fontId="16" fillId="0" borderId="9" xfId="0" applyFont="1" applyBorder="1"/>
    <xf numFmtId="0" fontId="38" fillId="0" borderId="8" xfId="0" applyFont="1" applyBorder="1"/>
    <xf numFmtId="0" fontId="38" fillId="0" borderId="0" xfId="0" applyFont="1" applyAlignment="1">
      <alignment horizontal="left" indent="2"/>
    </xf>
    <xf numFmtId="0" fontId="38" fillId="0" borderId="9" xfId="0" applyFont="1" applyBorder="1"/>
    <xf numFmtId="0" fontId="14" fillId="0" borderId="0" xfId="0" applyFont="1" applyAlignment="1">
      <alignment horizontal="left" indent="2"/>
    </xf>
    <xf numFmtId="0" fontId="3" fillId="0" borderId="8" xfId="0" applyFont="1" applyBorder="1"/>
    <xf numFmtId="0" fontId="37" fillId="0" borderId="0" xfId="0" applyFont="1"/>
    <xf numFmtId="0" fontId="37" fillId="0" borderId="9" xfId="0" applyFont="1" applyBorder="1"/>
    <xf numFmtId="44" fontId="3" fillId="4" borderId="2" xfId="0" applyNumberFormat="1" applyFont="1" applyFill="1" applyBorder="1"/>
    <xf numFmtId="44" fontId="2" fillId="3" borderId="0" xfId="1" applyFont="1" applyFill="1" applyProtection="1">
      <protection locked="0"/>
    </xf>
    <xf numFmtId="0" fontId="13" fillId="0" borderId="0" xfId="0" applyFont="1" applyAlignment="1">
      <alignment horizontal="right"/>
    </xf>
    <xf numFmtId="0" fontId="13" fillId="0" borderId="0" xfId="0" applyFont="1"/>
    <xf numFmtId="0" fontId="13" fillId="0" borderId="0" xfId="0" applyFont="1" applyAlignment="1">
      <alignment horizontal="center"/>
    </xf>
    <xf numFmtId="14" fontId="13" fillId="0" borderId="0" xfId="0" applyNumberFormat="1" applyFont="1" applyAlignment="1">
      <alignment horizontal="center"/>
    </xf>
    <xf numFmtId="0" fontId="39" fillId="7" borderId="0" xfId="0" applyFont="1" applyFill="1" applyAlignment="1">
      <alignment horizontal="left" indent="1"/>
    </xf>
    <xf numFmtId="0" fontId="20" fillId="0" borderId="0" xfId="0" applyFont="1" applyAlignment="1">
      <alignment horizontal="left" indent="2"/>
    </xf>
    <xf numFmtId="44" fontId="20" fillId="0" borderId="0" xfId="0" applyNumberFormat="1" applyFont="1"/>
    <xf numFmtId="44" fontId="2" fillId="0" borderId="11" xfId="0" applyNumberFormat="1" applyFont="1" applyBorder="1"/>
    <xf numFmtId="3" fontId="6" fillId="0" borderId="0" xfId="0" applyNumberFormat="1" applyFont="1" applyAlignment="1">
      <alignment horizontal="center"/>
    </xf>
    <xf numFmtId="44" fontId="3" fillId="4" borderId="4" xfId="0" applyNumberFormat="1" applyFont="1" applyFill="1" applyBorder="1"/>
    <xf numFmtId="9" fontId="20" fillId="0" borderId="0" xfId="2" applyFont="1" applyFill="1" applyBorder="1" applyAlignment="1" applyProtection="1">
      <alignment horizontal="center"/>
    </xf>
    <xf numFmtId="164" fontId="16" fillId="0" borderId="2" xfId="0" applyNumberFormat="1" applyFont="1" applyBorder="1" applyAlignment="1" applyProtection="1">
      <alignment horizontal="left" vertical="top"/>
      <protection locked="0"/>
    </xf>
    <xf numFmtId="164" fontId="16" fillId="3" borderId="16" xfId="0" applyNumberFormat="1" applyFont="1" applyFill="1" applyBorder="1" applyAlignment="1" applyProtection="1">
      <alignment horizontal="left" vertical="top"/>
      <protection locked="0"/>
    </xf>
    <xf numFmtId="164" fontId="16" fillId="5" borderId="16" xfId="0" applyNumberFormat="1" applyFont="1" applyFill="1" applyBorder="1" applyAlignment="1" applyProtection="1">
      <alignment horizontal="left" vertical="top"/>
      <protection locked="0"/>
    </xf>
    <xf numFmtId="164" fontId="16" fillId="0" borderId="0" xfId="0" applyNumberFormat="1" applyFont="1" applyAlignment="1" applyProtection="1">
      <alignment horizontal="left" vertical="top"/>
      <protection locked="0"/>
    </xf>
    <xf numFmtId="0" fontId="48" fillId="0" borderId="0" xfId="0" applyFont="1" applyAlignment="1">
      <alignment horizontal="center" vertical="top" wrapText="1"/>
    </xf>
    <xf numFmtId="165" fontId="49" fillId="3" borderId="2" xfId="5" applyNumberFormat="1" applyFont="1" applyFill="1" applyBorder="1" applyAlignment="1" applyProtection="1">
      <alignment horizontal="center" vertical="top"/>
      <protection locked="0"/>
    </xf>
    <xf numFmtId="0" fontId="8" fillId="0" borderId="0" xfId="0" applyFont="1" applyAlignment="1">
      <alignment horizontal="center"/>
    </xf>
    <xf numFmtId="164" fontId="16" fillId="8" borderId="16" xfId="0" applyNumberFormat="1" applyFont="1" applyFill="1" applyBorder="1" applyAlignment="1" applyProtection="1">
      <alignment horizontal="left" vertical="top"/>
      <protection locked="0"/>
    </xf>
    <xf numFmtId="44" fontId="24" fillId="0" borderId="0" xfId="5" applyNumberFormat="1" applyFont="1"/>
    <xf numFmtId="0" fontId="50" fillId="0" borderId="0" xfId="5" applyFont="1"/>
    <xf numFmtId="0" fontId="51" fillId="0" borderId="0" xfId="0" applyFont="1" applyAlignment="1">
      <alignment vertical="top"/>
    </xf>
    <xf numFmtId="0" fontId="52" fillId="0" borderId="0" xfId="0" applyFont="1" applyAlignment="1">
      <alignment horizontal="center" vertical="center"/>
    </xf>
    <xf numFmtId="169" fontId="52" fillId="0" borderId="0" xfId="0" applyNumberFormat="1" applyFont="1" applyAlignment="1">
      <alignment horizontal="center" vertical="top"/>
    </xf>
    <xf numFmtId="0" fontId="53" fillId="0" borderId="0" xfId="0" applyFont="1" applyAlignment="1">
      <alignment vertical="top"/>
    </xf>
    <xf numFmtId="14" fontId="52" fillId="0" borderId="0" xfId="0" applyNumberFormat="1" applyFont="1" applyAlignment="1">
      <alignment horizontal="center" vertical="top"/>
    </xf>
    <xf numFmtId="0" fontId="52" fillId="0" borderId="0" xfId="0" applyFont="1" applyAlignment="1">
      <alignment horizontal="center"/>
    </xf>
    <xf numFmtId="169" fontId="52" fillId="0" borderId="0" xfId="0" applyNumberFormat="1" applyFont="1" applyAlignment="1">
      <alignment horizontal="center"/>
    </xf>
    <xf numFmtId="169" fontId="54" fillId="2" borderId="0" xfId="0" applyNumberFormat="1" applyFont="1" applyFill="1" applyAlignment="1">
      <alignment horizontal="center" vertical="top"/>
    </xf>
    <xf numFmtId="0" fontId="54" fillId="2" borderId="0" xfId="0" applyFont="1" applyFill="1" applyAlignment="1">
      <alignment horizontal="center" vertical="top"/>
    </xf>
    <xf numFmtId="169" fontId="52" fillId="0" borderId="0" xfId="2" applyNumberFormat="1" applyFont="1" applyAlignment="1">
      <alignment horizontal="center" vertical="top" wrapText="1"/>
    </xf>
    <xf numFmtId="164" fontId="53" fillId="0" borderId="0" xfId="0" applyNumberFormat="1" applyFont="1" applyAlignment="1">
      <alignment horizontal="left" vertical="top"/>
    </xf>
    <xf numFmtId="10" fontId="52" fillId="0" borderId="0" xfId="0" applyNumberFormat="1" applyFont="1" applyAlignment="1">
      <alignment horizontal="center" vertical="top" wrapText="1"/>
    </xf>
    <xf numFmtId="169" fontId="52" fillId="0" borderId="0" xfId="0" applyNumberFormat="1" applyFont="1" applyAlignment="1">
      <alignment horizontal="center" vertical="top" wrapText="1"/>
    </xf>
    <xf numFmtId="170" fontId="52" fillId="0" borderId="0" xfId="2" applyNumberFormat="1" applyFont="1" applyAlignment="1">
      <alignment horizontal="center" vertical="top" wrapText="1"/>
    </xf>
    <xf numFmtId="0" fontId="52" fillId="0" borderId="0" xfId="0" applyFont="1" applyAlignment="1">
      <alignment horizontal="center" vertical="top" wrapText="1"/>
    </xf>
    <xf numFmtId="0" fontId="53" fillId="0" borderId="0" xfId="0" applyFont="1"/>
    <xf numFmtId="169" fontId="36" fillId="0" borderId="0" xfId="0" applyNumberFormat="1" applyFont="1" applyAlignment="1">
      <alignment horizontal="center" vertical="top"/>
    </xf>
    <xf numFmtId="169" fontId="2" fillId="0" borderId="0" xfId="0" applyNumberFormat="1" applyFont="1"/>
    <xf numFmtId="166" fontId="2" fillId="0" borderId="0" xfId="1" applyNumberFormat="1" applyFont="1"/>
    <xf numFmtId="0" fontId="55" fillId="0" borderId="0" xfId="0" applyFont="1" applyAlignment="1">
      <alignment horizontal="center"/>
    </xf>
    <xf numFmtId="10" fontId="52" fillId="0" borderId="0" xfId="0" applyNumberFormat="1" applyFont="1" applyAlignment="1">
      <alignment horizontal="center"/>
    </xf>
    <xf numFmtId="0" fontId="54" fillId="0" borderId="0" xfId="0" applyFont="1" applyAlignment="1">
      <alignment horizontal="center"/>
    </xf>
    <xf numFmtId="170" fontId="52" fillId="0" borderId="0" xfId="0" applyNumberFormat="1" applyFont="1" applyAlignment="1">
      <alignment horizontal="center"/>
    </xf>
    <xf numFmtId="171" fontId="52" fillId="0" borderId="0" xfId="0" applyNumberFormat="1" applyFont="1" applyAlignment="1">
      <alignment horizontal="center"/>
    </xf>
    <xf numFmtId="44" fontId="2" fillId="3" borderId="13" xfId="0" applyNumberFormat="1" applyFont="1" applyFill="1" applyBorder="1" applyProtection="1">
      <protection locked="0"/>
    </xf>
    <xf numFmtId="0" fontId="0" fillId="0" borderId="14" xfId="0" applyBorder="1" applyProtection="1">
      <protection locked="0"/>
    </xf>
    <xf numFmtId="44" fontId="2" fillId="3" borderId="13" xfId="0" applyNumberFormat="1" applyFont="1" applyFill="1" applyBorder="1"/>
    <xf numFmtId="0" fontId="0" fillId="0" borderId="14" xfId="0" applyBorder="1"/>
    <xf numFmtId="0" fontId="18" fillId="0" borderId="0" xfId="0" applyFont="1" applyAlignment="1">
      <alignment horizontal="left" wrapText="1"/>
    </xf>
    <xf numFmtId="0" fontId="2" fillId="3" borderId="13" xfId="0" applyFont="1" applyFill="1" applyBorder="1" applyAlignment="1" applyProtection="1">
      <alignment horizontal="left"/>
      <protection locked="0"/>
    </xf>
    <xf numFmtId="0" fontId="0" fillId="0" borderId="14" xfId="0" applyBorder="1" applyAlignment="1" applyProtection="1">
      <alignment horizontal="left"/>
      <protection locked="0"/>
    </xf>
    <xf numFmtId="0" fontId="14" fillId="0" borderId="0" xfId="0" applyFont="1" applyAlignment="1">
      <alignment horizontal="left" wrapText="1"/>
    </xf>
    <xf numFmtId="44" fontId="2" fillId="3" borderId="25" xfId="0" applyNumberFormat="1" applyFont="1" applyFill="1" applyBorder="1" applyProtection="1">
      <protection locked="0"/>
    </xf>
    <xf numFmtId="0" fontId="2" fillId="3" borderId="25" xfId="0" applyFont="1" applyFill="1" applyBorder="1" applyAlignment="1" applyProtection="1">
      <alignment horizontal="left"/>
      <protection locked="0"/>
    </xf>
    <xf numFmtId="0" fontId="3" fillId="3" borderId="13" xfId="0" applyFont="1" applyFill="1" applyBorder="1" applyAlignment="1" applyProtection="1">
      <alignment horizontal="center" vertical="top"/>
      <protection locked="0"/>
    </xf>
    <xf numFmtId="0" fontId="0" fillId="0" borderId="14" xfId="0" applyBorder="1" applyAlignment="1">
      <alignment horizontal="center" vertical="top"/>
    </xf>
    <xf numFmtId="0" fontId="3" fillId="2" borderId="26" xfId="0" applyFont="1" applyFill="1" applyBorder="1" applyAlignment="1">
      <alignment horizontal="center" vertical="top"/>
    </xf>
    <xf numFmtId="0" fontId="0" fillId="0" borderId="26" xfId="0" applyBorder="1" applyAlignment="1">
      <alignment horizontal="center" vertical="top"/>
    </xf>
  </cellXfs>
  <cellStyles count="10">
    <cellStyle name="Hyperlink" xfId="5" builtinId="8"/>
    <cellStyle name="Hyperlink 2" xfId="8" xr:uid="{2EE65E86-E99D-46B0-AEE6-DE6D773A1D66}"/>
    <cellStyle name="Komma" xfId="4" builtinId="3"/>
    <cellStyle name="Procent" xfId="2" builtinId="5"/>
    <cellStyle name="Standaard" xfId="0" builtinId="0"/>
    <cellStyle name="Standaard 10 2" xfId="6" xr:uid="{FC1276BD-F018-444A-A060-5E368AB12433}"/>
    <cellStyle name="Standaard 2" xfId="7" xr:uid="{14101347-5F6A-49E8-A98D-ECBA759FC016}"/>
    <cellStyle name="Valuta" xfId="1" builtinId="4"/>
    <cellStyle name="Valuta 2" xfId="3" xr:uid="{75365A6F-47E9-48EC-935D-DB7559AF16D2}"/>
    <cellStyle name="Valuta 3" xfId="9" xr:uid="{BEB3F136-C789-446B-A002-99429F618F08}"/>
  </cellStyles>
  <dxfs count="0"/>
  <tableStyles count="0" defaultTableStyle="TableStyleMedium2" defaultPivotStyle="PivotStyleLight16"/>
  <colors>
    <mruColors>
      <color rgb="FFFFFFCC"/>
      <color rgb="FF018A3A"/>
      <color rgb="FFCC3300"/>
      <color rgb="FFFFCCCC"/>
      <color rgb="FFCC660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170329</xdr:colOff>
      <xdr:row>3</xdr:row>
      <xdr:rowOff>7469</xdr:rowOff>
    </xdr:from>
    <xdr:to>
      <xdr:col>19</xdr:col>
      <xdr:colOff>560293</xdr:colOff>
      <xdr:row>37</xdr:row>
      <xdr:rowOff>0</xdr:rowOff>
    </xdr:to>
    <xdr:sp macro="" textlink="">
      <xdr:nvSpPr>
        <xdr:cNvPr id="2" name="Tekstvak 1">
          <a:extLst>
            <a:ext uri="{FF2B5EF4-FFF2-40B4-BE49-F238E27FC236}">
              <a16:creationId xmlns:a16="http://schemas.microsoft.com/office/drawing/2014/main" id="{35C9237D-1A56-47CF-BB74-3678009E1B35}"/>
            </a:ext>
          </a:extLst>
        </xdr:cNvPr>
        <xdr:cNvSpPr txBox="1"/>
      </xdr:nvSpPr>
      <xdr:spPr>
        <a:xfrm flipH="1">
          <a:off x="6813176" y="563281"/>
          <a:ext cx="6979023" cy="6088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Scholen kunnen op vier momenten aanvullende bekostiging voor asielzoekers en overige vreemdelingen aanvragen, te weten voor teldata 1 januari, 1 april, 1 juli en 1 oktober. Asielzoekers en overige vreemdelingen zijn in dit kader leerlingen met een verblijfsperiode in Nederland van minder dan één jaar. </a:t>
          </a:r>
        </a:p>
        <a:p>
          <a:r>
            <a:rPr lang="nl-NL" sz="1100"/>
            <a:t>Voor IGBO-leerlingen kan deze aanvullende bekostiging niet worden aangevraagd. </a:t>
          </a:r>
        </a:p>
        <a:p>
          <a:endParaRPr lang="nl-NL" sz="1100"/>
        </a:p>
        <a:p>
          <a:r>
            <a:rPr lang="nl-NL" sz="1100"/>
            <a:t>Om in aanmerking te komen voor deze aanvullende bekostiging geldt er voor elke teldatum een drempel van vier asielzoekers en overige vreemdelingen (het maakt in dit geval niet uit of het een asielzoeker of overige vreemdeling is, IGBO-leerlingen tellen niet mee). Als een school minimaal vier asielzoekers en/of overige vreemdelingen heeft op de teldatum, dan is de drempel gehaald en kan de school aanvullende bekostiging aanvragen. </a:t>
          </a:r>
        </a:p>
        <a:p>
          <a:endParaRPr lang="nl-NL" sz="1100"/>
        </a:p>
        <a:p>
          <a:r>
            <a:rPr lang="nl-NL" sz="1100"/>
            <a:t>Voor teldata 1 april, 1 juli en 1 oktober wordt er, mits de drempel is gehaald, aanvullende bekostiging toegekend per asielzoeker en overige vreemdeling. Het bedrag per asielzoeker is hoger dan het bedrag per overige vreemdeling. </a:t>
          </a:r>
        </a:p>
        <a:p>
          <a:endParaRPr lang="nl-NL" sz="1100"/>
        </a:p>
        <a:p>
          <a:r>
            <a:rPr lang="nl-NL" sz="1100"/>
            <a:t>Tot slot, als een school voor het eerst een aanvraag indient, ontvangt deze school een eenmalig bedrag. </a:t>
          </a:r>
        </a:p>
      </xdr:txBody>
    </xdr:sp>
    <xdr:clientData/>
  </xdr:twoCellAnchor>
  <xdr:twoCellAnchor>
    <xdr:from>
      <xdr:col>8</xdr:col>
      <xdr:colOff>5977</xdr:colOff>
      <xdr:row>38</xdr:row>
      <xdr:rowOff>22412</xdr:rowOff>
    </xdr:from>
    <xdr:to>
      <xdr:col>20</xdr:col>
      <xdr:colOff>20918</xdr:colOff>
      <xdr:row>47</xdr:row>
      <xdr:rowOff>156882</xdr:rowOff>
    </xdr:to>
    <xdr:sp macro="" textlink="">
      <xdr:nvSpPr>
        <xdr:cNvPr id="3" name="Tekstvak 2">
          <a:extLst>
            <a:ext uri="{FF2B5EF4-FFF2-40B4-BE49-F238E27FC236}">
              <a16:creationId xmlns:a16="http://schemas.microsoft.com/office/drawing/2014/main" id="{50F9A21C-03AB-46E4-B691-BC5A37450F03}"/>
            </a:ext>
          </a:extLst>
        </xdr:cNvPr>
        <xdr:cNvSpPr txBox="1"/>
      </xdr:nvSpPr>
      <xdr:spPr>
        <a:xfrm>
          <a:off x="6828118" y="6853518"/>
          <a:ext cx="7007412" cy="1748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Onderwijs aan asielzoekers gedurende het tweede jaar in Nederland op basisscholen</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Scholen kunnen op vier momenten aanvullende bekostiging aanvragen voor asielzoekersleerlingen die tussen de een tot twee jaar in Nederland verblijven, te weten voor teldata 1 januari, 1 april, 1 juli en 1 oktober. Voor IGBO-leerlingen en overige vreemdelingen kan deze aanvullende bekostiging niet worden aangevraagd.  </a:t>
          </a:r>
        </a:p>
        <a:p>
          <a:pPr marL="171450" indent="-171450">
            <a:buFont typeface="Arial" panose="020B0604020202020204" pitchFamily="34" charset="0"/>
            <a:buChar char="•"/>
          </a:pPr>
          <a:r>
            <a:rPr lang="nl-NL" sz="1000">
              <a:solidFill>
                <a:schemeClr val="dk1"/>
              </a:solidFill>
              <a:effectLst/>
              <a:latin typeface="+mn-lt"/>
              <a:ea typeface="+mn-ea"/>
              <a:cs typeface="+mn-cs"/>
            </a:rPr>
            <a:t>De aanvullende bekostiging bestaat per teldatum uit een kwart van het bedrag per tweedejaars asielzoeker. Er geldt geen drempel qua aantal leerlingen voordat er recht ontstaat op deze aanvullende bekostiging. </a:t>
          </a:r>
        </a:p>
        <a:p>
          <a:r>
            <a:rPr lang="nl-NL" sz="1000">
              <a:solidFill>
                <a:schemeClr val="dk1"/>
              </a:solidFill>
              <a:effectLst/>
              <a:latin typeface="+mn-lt"/>
              <a:ea typeface="+mn-ea"/>
              <a:cs typeface="+mn-cs"/>
            </a:rPr>
            <a:t> </a:t>
          </a:r>
        </a:p>
        <a:p>
          <a:r>
            <a:rPr lang="nl-NL" sz="1000">
              <a:solidFill>
                <a:schemeClr val="dk1"/>
              </a:solidFill>
              <a:effectLst/>
              <a:latin typeface="+mn-lt"/>
              <a:ea typeface="+mn-ea"/>
              <a:cs typeface="+mn-cs"/>
            </a:rPr>
            <a:t> </a:t>
          </a:r>
        </a:p>
        <a:p>
          <a:endParaRPr lang="nl-NL" sz="1000"/>
        </a:p>
      </xdr:txBody>
    </xdr:sp>
    <xdr:clientData/>
  </xdr:twoCellAnchor>
  <xdr:twoCellAnchor>
    <xdr:from>
      <xdr:col>8</xdr:col>
      <xdr:colOff>5977</xdr:colOff>
      <xdr:row>49</xdr:row>
      <xdr:rowOff>0</xdr:rowOff>
    </xdr:from>
    <xdr:to>
      <xdr:col>20</xdr:col>
      <xdr:colOff>13447</xdr:colOff>
      <xdr:row>54</xdr:row>
      <xdr:rowOff>7471</xdr:rowOff>
    </xdr:to>
    <xdr:sp macro="" textlink="">
      <xdr:nvSpPr>
        <xdr:cNvPr id="4" name="Tekstvak 3">
          <a:extLst>
            <a:ext uri="{FF2B5EF4-FFF2-40B4-BE49-F238E27FC236}">
              <a16:creationId xmlns:a16="http://schemas.microsoft.com/office/drawing/2014/main" id="{54216534-403B-426C-AAA7-8B0F78CA8090}"/>
            </a:ext>
          </a:extLst>
        </xdr:cNvPr>
        <xdr:cNvSpPr txBox="1"/>
      </xdr:nvSpPr>
      <xdr:spPr>
        <a:xfrm>
          <a:off x="6828118" y="8803341"/>
          <a:ext cx="6999941" cy="903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Opvang asielzoekerskinderen in procesopvanglocaties en gezinslocaties</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Scholen kunnen aanvullende bekostiging aanvragen voor leerlingen die op 1 februari t-1 in een pol/glo verblijven.</a:t>
          </a:r>
          <a:r>
            <a:rPr lang="nl-NL" sz="1000" baseline="0">
              <a:solidFill>
                <a:schemeClr val="dk1"/>
              </a:solidFill>
              <a:effectLst/>
              <a:latin typeface="+mn-lt"/>
              <a:ea typeface="+mn-ea"/>
              <a:cs typeface="+mn-cs"/>
            </a:rPr>
            <a:t> </a:t>
          </a:r>
        </a:p>
        <a:p>
          <a:pPr marL="171450" indent="-171450">
            <a:buFont typeface="Arial" panose="020B0604020202020204" pitchFamily="34" charset="0"/>
            <a:buChar char="•"/>
          </a:pPr>
          <a:r>
            <a:rPr lang="nl-NL" sz="1000">
              <a:solidFill>
                <a:schemeClr val="dk1"/>
              </a:solidFill>
              <a:effectLst/>
              <a:latin typeface="+mn-lt"/>
              <a:ea typeface="+mn-ea"/>
              <a:cs typeface="+mn-cs"/>
            </a:rPr>
            <a:t>Het gaat om een bedrag per leerling en er is geen drempel voordat er recht ontstaat op deze aanvullende bekostiging. </a:t>
          </a:r>
        </a:p>
      </xdr:txBody>
    </xdr:sp>
    <xdr:clientData/>
  </xdr:twoCellAnchor>
  <xdr:twoCellAnchor>
    <xdr:from>
      <xdr:col>8</xdr:col>
      <xdr:colOff>5977</xdr:colOff>
      <xdr:row>55</xdr:row>
      <xdr:rowOff>20917</xdr:rowOff>
    </xdr:from>
    <xdr:to>
      <xdr:col>20</xdr:col>
      <xdr:colOff>5976</xdr:colOff>
      <xdr:row>74</xdr:row>
      <xdr:rowOff>8964</xdr:rowOff>
    </xdr:to>
    <xdr:sp macro="" textlink="">
      <xdr:nvSpPr>
        <xdr:cNvPr id="5" name="Tekstvak 4">
          <a:extLst>
            <a:ext uri="{FF2B5EF4-FFF2-40B4-BE49-F238E27FC236}">
              <a16:creationId xmlns:a16="http://schemas.microsoft.com/office/drawing/2014/main" id="{CA72BE9A-96E9-42E2-9058-6DB90323A607}"/>
            </a:ext>
          </a:extLst>
        </xdr:cNvPr>
        <xdr:cNvSpPr txBox="1"/>
      </xdr:nvSpPr>
      <xdr:spPr>
        <a:xfrm>
          <a:off x="6828118" y="9900023"/>
          <a:ext cx="6992470" cy="3394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Schipperskinderen</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bo-school ontvangt aanvullende bekostiging voor het aantal maanden dat er schipperskinderen onderwijs krijgen op de school. De drempel voor bekostiging is ten minste drie schipperskinderen in de eerste vier verblijfsjaren op een reguliere bo-school en die verblijven in een internaat of pleeggezin. </a:t>
          </a:r>
        </a:p>
        <a:p>
          <a:pPr marL="171450" indent="-171450">
            <a:buFont typeface="Arial" panose="020B0604020202020204" pitchFamily="34" charset="0"/>
            <a:buChar char="•"/>
          </a:pPr>
          <a:r>
            <a:rPr lang="nl-NL" sz="1000">
              <a:solidFill>
                <a:schemeClr val="dk1"/>
              </a:solidFill>
              <a:effectLst/>
              <a:latin typeface="+mn-lt"/>
              <a:ea typeface="+mn-ea"/>
              <a:cs typeface="+mn-cs"/>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p>
        <a:p>
          <a:endParaRPr lang="nl-NL" sz="1000" b="1">
            <a:solidFill>
              <a:schemeClr val="dk1"/>
            </a:solidFill>
            <a:effectLst/>
            <a:latin typeface="+mn-lt"/>
            <a:ea typeface="+mn-ea"/>
            <a:cs typeface="+mn-cs"/>
          </a:endParaRP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r>
            <a:rPr lang="nl-NL" sz="1000">
              <a:solidFill>
                <a:schemeClr val="dk1"/>
              </a:solidFill>
              <a:effectLst/>
              <a:latin typeface="+mn-lt"/>
              <a:ea typeface="+mn-ea"/>
              <a:cs typeface="+mn-cs"/>
            </a:rPr>
            <a:t>Aanvullende bekostiging schipperskinderen = aantal schipperskinderen x bedrag / 12 x aantal maanden toekenning</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bo-school geeft vanaf 10 augustus onderwijs aan zes schipperskinderen en dient hiervoor eind augustus een aanvraag in bij DUO. </a:t>
          </a:r>
        </a:p>
        <a:p>
          <a:pPr marL="171450" indent="-171450">
            <a:buFont typeface="Arial" panose="020B0604020202020204" pitchFamily="34" charset="0"/>
            <a:buChar char="•"/>
          </a:pPr>
          <a:r>
            <a:rPr lang="nl-NL" sz="1000">
              <a:solidFill>
                <a:schemeClr val="dk1"/>
              </a:solidFill>
              <a:effectLst/>
              <a:latin typeface="+mn-lt"/>
              <a:ea typeface="+mn-ea"/>
              <a:cs typeface="+mn-cs"/>
            </a:rPr>
            <a:t>De school ontvangt hier vanaf september bekostiging voor: 6 x (</a:t>
          </a:r>
          <a:r>
            <a:rPr lang="nl-NL" sz="1000" b="1">
              <a:solidFill>
                <a:schemeClr val="dk1"/>
              </a:solidFill>
              <a:effectLst/>
              <a:latin typeface="+mn-lt"/>
              <a:ea typeface="+mn-ea"/>
              <a:cs typeface="+mn-cs"/>
            </a:rPr>
            <a:t>€ 3.033,68</a:t>
          </a:r>
          <a:r>
            <a:rPr lang="nl-NL" sz="1000">
              <a:solidFill>
                <a:schemeClr val="dk1"/>
              </a:solidFill>
              <a:effectLst/>
              <a:latin typeface="+mn-lt"/>
              <a:ea typeface="+mn-ea"/>
              <a:cs typeface="+mn-cs"/>
            </a:rPr>
            <a:t> / 12) x 4 = € 6.067,36</a:t>
          </a:r>
        </a:p>
        <a:p>
          <a:endParaRPr lang="nl-NL" sz="1000"/>
        </a:p>
      </xdr:txBody>
    </xdr:sp>
    <xdr:clientData/>
  </xdr:twoCellAnchor>
  <xdr:twoCellAnchor>
    <xdr:from>
      <xdr:col>8</xdr:col>
      <xdr:colOff>7471</xdr:colOff>
      <xdr:row>75</xdr:row>
      <xdr:rowOff>7471</xdr:rowOff>
    </xdr:from>
    <xdr:to>
      <xdr:col>20</xdr:col>
      <xdr:colOff>7321</xdr:colOff>
      <xdr:row>94</xdr:row>
      <xdr:rowOff>0</xdr:rowOff>
    </xdr:to>
    <xdr:sp macro="" textlink="">
      <xdr:nvSpPr>
        <xdr:cNvPr id="6" name="Tekstvak 5">
          <a:extLst>
            <a:ext uri="{FF2B5EF4-FFF2-40B4-BE49-F238E27FC236}">
              <a16:creationId xmlns:a16="http://schemas.microsoft.com/office/drawing/2014/main" id="{DD0814F2-E794-40EB-BA40-9CFAC21DF94C}"/>
            </a:ext>
          </a:extLst>
        </xdr:cNvPr>
        <xdr:cNvSpPr txBox="1"/>
      </xdr:nvSpPr>
      <xdr:spPr>
        <a:xfrm>
          <a:off x="6829612" y="13472459"/>
          <a:ext cx="6992321" cy="3399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Leerlingen met een culturele achtergrond van de Roma en Sinti</a:t>
          </a:r>
          <a:endParaRPr lang="nl-NL" sz="1000" b="1">
            <a:solidFill>
              <a:schemeClr val="dk1"/>
            </a:solidFill>
            <a:effectLst/>
            <a:latin typeface="+mn-lt"/>
            <a:ea typeface="+mn-ea"/>
            <a:cs typeface="+mn-cs"/>
          </a:endParaRPr>
        </a:p>
        <a:p>
          <a:r>
            <a:rPr lang="nl-NL" sz="1000">
              <a:solidFill>
                <a:schemeClr val="dk1"/>
              </a:solidFill>
              <a:effectLst/>
              <a:latin typeface="+mn-lt"/>
              <a:ea typeface="+mn-ea"/>
              <a:cs typeface="+mn-cs"/>
            </a:rPr>
            <a:t>Een bo-school ontvangt aanvullende bekostiging voor het aantal maanden dat er leerlingen met een culturele achtergrond van de Roma en Sinti onderwijs krijgen op de school. De drempel voor bekostiging is ten minste vier van deze leerlingen.</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r>
            <a:rPr lang="nl-NL" sz="1000">
              <a:solidFill>
                <a:schemeClr val="dk1"/>
              </a:solidFill>
              <a:effectLst/>
              <a:latin typeface="+mn-lt"/>
              <a:ea typeface="+mn-ea"/>
              <a:cs typeface="+mn-cs"/>
            </a:rPr>
            <a:t>Aanvullende bekostiging Roma/Sinti = aantal Roma-/Sinti-leerlingen x bedrag / 12 x aantal maanden toekenning</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effectLst/>
              <a:latin typeface="+mn-lt"/>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l-NL" sz="1000">
              <a:solidFill>
                <a:schemeClr val="dk1"/>
              </a:solidFill>
              <a:effectLst/>
              <a:latin typeface="+mn-lt"/>
              <a:ea typeface="+mn-ea"/>
              <a:cs typeface="+mn-cs"/>
            </a:rPr>
            <a:t>Een bo-school geeft vanaf 10 augustus onderwijs aan zes Roma/Sinti-leerlingen en dient hiervoor eind augustus een aanvraag in bij DUO. De school ontvangt hier vanaf september bekostiging voor: 6 x (</a:t>
          </a:r>
          <a:r>
            <a:rPr lang="nl-NL" sz="1000" b="1">
              <a:solidFill>
                <a:schemeClr val="dk1"/>
              </a:solidFill>
              <a:effectLst/>
              <a:latin typeface="+mn-lt"/>
              <a:ea typeface="+mn-ea"/>
              <a:cs typeface="+mn-cs"/>
            </a:rPr>
            <a:t>€ 4.086,46</a:t>
          </a:r>
          <a:r>
            <a:rPr lang="nl-NL" sz="1000">
              <a:solidFill>
                <a:schemeClr val="dk1"/>
              </a:solidFill>
              <a:effectLst/>
              <a:latin typeface="+mn-lt"/>
              <a:ea typeface="+mn-ea"/>
              <a:cs typeface="+mn-cs"/>
            </a:rPr>
            <a:t> / 12) x 4 = € 8.172,92</a:t>
          </a:r>
          <a:endParaRPr lang="nl-NL" sz="1000">
            <a:effectLst/>
            <a:latin typeface="+mn-lt"/>
          </a:endParaRPr>
        </a:p>
      </xdr:txBody>
    </xdr:sp>
    <xdr:clientData/>
  </xdr:twoCellAnchor>
  <xdr:twoCellAnchor>
    <xdr:from>
      <xdr:col>8</xdr:col>
      <xdr:colOff>1</xdr:colOff>
      <xdr:row>95</xdr:row>
      <xdr:rowOff>0</xdr:rowOff>
    </xdr:from>
    <xdr:to>
      <xdr:col>20</xdr:col>
      <xdr:colOff>1</xdr:colOff>
      <xdr:row>113</xdr:row>
      <xdr:rowOff>156882</xdr:rowOff>
    </xdr:to>
    <xdr:sp macro="" textlink="">
      <xdr:nvSpPr>
        <xdr:cNvPr id="7" name="Tekstvak 6">
          <a:extLst>
            <a:ext uri="{FF2B5EF4-FFF2-40B4-BE49-F238E27FC236}">
              <a16:creationId xmlns:a16="http://schemas.microsoft.com/office/drawing/2014/main" id="{D6842E48-9E9D-4BD9-A476-29F445779EB0}"/>
            </a:ext>
          </a:extLst>
        </xdr:cNvPr>
        <xdr:cNvSpPr txBox="1"/>
      </xdr:nvSpPr>
      <xdr:spPr>
        <a:xfrm>
          <a:off x="6813177" y="14986000"/>
          <a:ext cx="7261412" cy="3115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Leerlingen uit een ‘Blijf van mijn lijf huis’ (BVMLH)</a:t>
          </a:r>
          <a:endParaRPr lang="nl-NL" sz="1000" b="1">
            <a:solidFill>
              <a:schemeClr val="dk1"/>
            </a:solidFill>
            <a:effectLst/>
            <a:latin typeface="+mn-lt"/>
            <a:ea typeface="+mn-ea"/>
            <a:cs typeface="+mn-cs"/>
          </a:endParaRPr>
        </a:p>
        <a:p>
          <a:r>
            <a:rPr lang="nl-NL" sz="1000">
              <a:solidFill>
                <a:schemeClr val="dk1"/>
              </a:solidFill>
              <a:effectLst/>
              <a:latin typeface="+mn-lt"/>
              <a:ea typeface="+mn-ea"/>
              <a:cs typeface="+mn-cs"/>
            </a:rPr>
            <a:t>Een bo-school ontvangt op maandbasis aanvullende bekostiging voor kinderen die afkomstig zijn uit BVMLH-en. De drempel voor bekostiging is ten minste 10 nieuw ingeschreven leerlingen uit een BVMLH.</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Aanvullende bekostiging BVMLH-leerlingen= Aantal BVMLH-leerlingen x bedrag / 12 x aantal maanden toekenning</a:t>
          </a:r>
        </a:p>
        <a:p>
          <a:pPr marL="171450" indent="-171450">
            <a:buFont typeface="Arial" panose="020B0604020202020204" pitchFamily="34" charset="0"/>
            <a:buChar char="•"/>
          </a:pPr>
          <a:r>
            <a:rPr lang="nl-NL" sz="1000">
              <a:effectLst/>
              <a:latin typeface="+mn-lt"/>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r>
            <a:rPr lang="nl-NL" sz="1000">
              <a:solidFill>
                <a:schemeClr val="dk1"/>
              </a:solidFill>
              <a:effectLst/>
              <a:latin typeface="+mn-lt"/>
              <a:ea typeface="+mn-ea"/>
              <a:cs typeface="+mn-cs"/>
            </a:rPr>
            <a:t> </a:t>
          </a:r>
        </a:p>
        <a:p>
          <a:endParaRPr lang="nl-NL" sz="10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7471</xdr:colOff>
      <xdr:row>3</xdr:row>
      <xdr:rowOff>7473</xdr:rowOff>
    </xdr:from>
    <xdr:to>
      <xdr:col>20</xdr:col>
      <xdr:colOff>7471</xdr:colOff>
      <xdr:row>25</xdr:row>
      <xdr:rowOff>8964</xdr:rowOff>
    </xdr:to>
    <xdr:sp macro="" textlink="">
      <xdr:nvSpPr>
        <xdr:cNvPr id="2" name="Tekstvak 1">
          <a:extLst>
            <a:ext uri="{FF2B5EF4-FFF2-40B4-BE49-F238E27FC236}">
              <a16:creationId xmlns:a16="http://schemas.microsoft.com/office/drawing/2014/main" id="{D063A29B-45BB-4FF3-A996-2A4F9474C18A}"/>
            </a:ext>
          </a:extLst>
        </xdr:cNvPr>
        <xdr:cNvSpPr txBox="1"/>
      </xdr:nvSpPr>
      <xdr:spPr>
        <a:xfrm>
          <a:off x="6506883" y="563285"/>
          <a:ext cx="7100047" cy="3963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nl-NL" sz="1000">
              <a:solidFill>
                <a:schemeClr val="dk1"/>
              </a:solidFill>
              <a:effectLst/>
              <a:latin typeface="+mn-lt"/>
              <a:ea typeface="+mn-ea"/>
              <a:cs typeface="+mn-cs"/>
            </a:rPr>
            <a:t>Groeibekostiging wordt verstrekt als een schoolbestuur in een bepaalde maand met 4% of meer is gegroeid ten opzichte van het aantal leerlingen op de teldatum (1 februari t-1). Het betreft hier alleen bo-leerlingen. Groei wordt maandelijks berekend op basis van het aantal leerlingen dat op de eerste dag van de maand staat ingeschreven in ROD. De prikdatum, het moment waarop wordt vastgesteld hoeveel leerlingen er staan ingeschreven, is 28 dagen na de eerste dag van de maand. </a:t>
          </a:r>
        </a:p>
        <a:p>
          <a:pPr marL="171450" indent="-171450">
            <a:buFont typeface="Arial" panose="020B0604020202020204" pitchFamily="34" charset="0"/>
            <a:buChar char="•"/>
          </a:pPr>
          <a:r>
            <a:rPr lang="nl-NL" sz="1000">
              <a:solidFill>
                <a:schemeClr val="dk1"/>
              </a:solidFill>
              <a:effectLst/>
              <a:latin typeface="+mn-lt"/>
              <a:ea typeface="+mn-ea"/>
              <a:cs typeface="+mn-cs"/>
            </a:rPr>
            <a:t> Als de groei van een schoolbestuur minimaal gelijk is aan de drempel van 4% wordt groeibekostiging voor die maand toegekend. De groeibekostiging wordt berekend door het aantal leerlingen waarmee het bestuur is gegroeid ten opzichte van de teldatum te vermenigvuldigen met een bedrag per leerling. Het bedrag per leerling is 1/12</a:t>
          </a:r>
          <a:r>
            <a:rPr lang="nl-NL" sz="1000" baseline="30000">
              <a:solidFill>
                <a:schemeClr val="dk1"/>
              </a:solidFill>
              <a:effectLst/>
              <a:latin typeface="+mn-lt"/>
              <a:ea typeface="+mn-ea"/>
              <a:cs typeface="+mn-cs"/>
            </a:rPr>
            <a:t>e</a:t>
          </a:r>
          <a:r>
            <a:rPr lang="nl-NL" sz="1000">
              <a:solidFill>
                <a:schemeClr val="dk1"/>
              </a:solidFill>
              <a:effectLst/>
              <a:latin typeface="+mn-lt"/>
              <a:ea typeface="+mn-ea"/>
              <a:cs typeface="+mn-cs"/>
            </a:rPr>
            <a:t> van het reguliere bedrag per leerling. </a:t>
          </a:r>
        </a:p>
        <a:p>
          <a:pPr marL="171450" indent="-171450">
            <a:buFont typeface="Arial" panose="020B0604020202020204" pitchFamily="34" charset="0"/>
            <a:buChar char="•"/>
          </a:pPr>
          <a:r>
            <a:rPr lang="nl-NL" sz="1000">
              <a:solidFill>
                <a:schemeClr val="dk1"/>
              </a:solidFill>
              <a:effectLst/>
              <a:latin typeface="+mn-lt"/>
              <a:ea typeface="+mn-ea"/>
              <a:cs typeface="+mn-cs"/>
            </a:rPr>
            <a:t> Groeibekostiging wordt berekend op bestuursniveau. Daarbij is leidend hoe het bestuur is samengesteld op 1 augustus. Voor de eerste zeven maanden van het kalenderjaar is de samenstelling van het bestuur op 1 augustus t-1  in het voorgaande jaar (t-1) van belang. Voor de laatste vijf maanden van het kalenderjaar is dat 1 augustus van het kalenderjaar zelf. </a:t>
          </a:r>
        </a:p>
        <a:p>
          <a:endParaRPr lang="nl-NL" sz="1000" b="1">
            <a:solidFill>
              <a:schemeClr val="dk1"/>
            </a:solidFill>
            <a:effectLst/>
            <a:latin typeface="+mn-lt"/>
            <a:ea typeface="+mn-ea"/>
            <a:cs typeface="+mn-cs"/>
          </a:endParaRP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pPr marL="171450" lvl="0" indent="-171450">
            <a:buFont typeface="Arial" panose="020B0604020202020204" pitchFamily="34" charset="0"/>
            <a:buChar char="•"/>
          </a:pPr>
          <a:r>
            <a:rPr lang="nl-NL" sz="1000">
              <a:solidFill>
                <a:schemeClr val="dk1"/>
              </a:solidFill>
              <a:effectLst/>
              <a:latin typeface="+mn-lt"/>
              <a:ea typeface="+mn-ea"/>
              <a:cs typeface="+mn-cs"/>
            </a:rPr>
            <a:t>drempel = 4% x aantal bo-leerlingen op 1 februari t-1 binnen bestuur </a:t>
          </a:r>
        </a:p>
        <a:p>
          <a:pPr marL="171450" lvl="0" indent="-171450">
            <a:buFont typeface="Arial" panose="020B0604020202020204" pitchFamily="34" charset="0"/>
            <a:buChar char="•"/>
          </a:pPr>
          <a:r>
            <a:rPr lang="nl-NL" sz="1000">
              <a:solidFill>
                <a:schemeClr val="dk1"/>
              </a:solidFill>
              <a:effectLst/>
              <a:latin typeface="+mn-lt"/>
              <a:ea typeface="+mn-ea"/>
              <a:cs typeface="+mn-cs"/>
            </a:rPr>
            <a:t>aantal bo-leerlingen groei = aantal bo-leerlingen op eerste van de maand binnen bestuur - aantal bo-leerlingen 1 februari t-1 binnen bestuur.</a:t>
          </a:r>
        </a:p>
        <a:p>
          <a:endParaRPr lang="nl-NL" sz="1000">
            <a:solidFill>
              <a:schemeClr val="dk1"/>
            </a:solidFill>
            <a:effectLst/>
            <a:latin typeface="+mn-lt"/>
            <a:ea typeface="+mn-ea"/>
            <a:cs typeface="+mn-cs"/>
          </a:endParaRP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schoolbestuur heeft op teldatum 1 februari t-1 100 leerlingen. Op 1 maart van jaar t heeft het schoolbestuur 105 leerlingen. De drempel om in aanmerking te komen voor groeibekostiging is voor dit schoolbestuur 100 leerlingen x 4% = 4 leerlingen. Het schoolbestuur haalt met 5 leerlingen groei de drempel. Het krijgt voor de maand maart voor 5 leerlingen groeibekostiging: 5 leerlingen x € </a:t>
          </a:r>
          <a:r>
            <a:rPr lang="nl-NL" sz="1000" b="1">
              <a:solidFill>
                <a:schemeClr val="dk1"/>
              </a:solidFill>
              <a:effectLst/>
              <a:latin typeface="+mn-lt"/>
              <a:ea typeface="+mn-ea"/>
              <a:cs typeface="+mn-cs"/>
            </a:rPr>
            <a:t>5.801,77</a:t>
          </a:r>
          <a:r>
            <a:rPr lang="nl-NL" sz="1000">
              <a:solidFill>
                <a:schemeClr val="dk1"/>
              </a:solidFill>
              <a:effectLst/>
              <a:latin typeface="+mn-lt"/>
              <a:ea typeface="+mn-ea"/>
              <a:cs typeface="+mn-cs"/>
            </a:rPr>
            <a:t> / 12 = € 2.417,22. </a:t>
          </a:r>
        </a:p>
        <a:p>
          <a:pPr marL="171450" indent="-171450">
            <a:buFont typeface="Arial" panose="020B0604020202020204" pitchFamily="34" charset="0"/>
            <a:buChar char="•"/>
          </a:pPr>
          <a:r>
            <a:rPr lang="nl-NL" sz="1000">
              <a:solidFill>
                <a:schemeClr val="dk1"/>
              </a:solidFill>
              <a:effectLst/>
              <a:latin typeface="+mn-lt"/>
              <a:ea typeface="+mn-ea"/>
              <a:cs typeface="+mn-cs"/>
            </a:rPr>
            <a:t>Hetzelfde schoolbestuur heeft op 1 april van jaar t nog maar 103 leerlingen. De drempel om in aanmerking te komen voor groeibekostiging is voor dit schoolbestuur (nog steeds) 100 leerlingen x 4% = 4 leerlingen. Het schoolbestuur haalt met 3 leerlingen groei de drempel niet. Voor de maand april ontvangt het schoolbestuur geen groeibekostiging.</a:t>
          </a:r>
        </a:p>
        <a:p>
          <a:endParaRPr lang="nl-NL" sz="10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aad.nl/arbeidszaken-bedrijfsvoering/financien/financien-en-verantwoording" TargetMode="External"/><Relationship Id="rId2" Type="http://schemas.openxmlformats.org/officeDocument/2006/relationships/hyperlink" Target="https://www.poraad.nl/arbeidszaken-bedrijfsvoering/financien/financien-en-verantwoording" TargetMode="External"/><Relationship Id="rId1" Type="http://schemas.openxmlformats.org/officeDocument/2006/relationships/hyperlink" Target="https://www.rijksoverheid.nl/onderwerpen/financiering-onderwijs/financiering-primair-onderwijs/vereenvoudiging-bekostiging-primair-onderwij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1.bin"/><Relationship Id="rId1" Type="http://schemas.openxmlformats.org/officeDocument/2006/relationships/hyperlink" Target="https://zoek.officielebekendmakingen.nl/stcrt-2022-27684.pdf" TargetMode="External"/><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poraad.nl/werkgeverschap/financien/vereenvoudiging-bekostiging/overgangsregeling-2023-2025-vereenvoudiging" TargetMode="External"/><Relationship Id="rId2" Type="http://schemas.openxmlformats.org/officeDocument/2006/relationships/hyperlink" Target="https://www.rijksoverheid.nl/documenten/publicaties/2022/03/31/herverdeeleffectenmodel-en-totstandkoming-bedragen-voor-de-vereenvoudiging-bekostiging-po" TargetMode="External"/><Relationship Id="rId1" Type="http://schemas.openxmlformats.org/officeDocument/2006/relationships/hyperlink" Target="https://www.rijksoverheid.nl/documenten/publicaties/2022/03/31/herverdeeleffectenmodel-en-totstandkoming-bedragen-voor-de-vereenvoudiging-bekostiging-p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poraad.nl/werkgeverschap/financien/vereenvoudiging-bekostiging/overgangsregeling-2023-2025-vereenvoudiging" TargetMode="External"/><Relationship Id="rId2" Type="http://schemas.openxmlformats.org/officeDocument/2006/relationships/hyperlink" Target="https://www.rijksoverheid.nl/documenten/publicaties/2022/03/31/herverdeeleffectenmodel-en-totstandkoming-bedragen-voor-de-vereenvoudiging-bekostiging-po" TargetMode="External"/><Relationship Id="rId1" Type="http://schemas.openxmlformats.org/officeDocument/2006/relationships/hyperlink" Target="https://www.rijksoverheid.nl/documenten/publicaties/2022/03/31/herverdeeleffectenmodel-en-totstandkoming-bedragen-voor-de-vereenvoudiging-bekostiging-po"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steunpuntpassendonderwijs-povo.nl/actualiteit/handreiking-vangnetbepaling-go-scholen-aanvullende-bekostiging-vanuit-samenwerkingsverbanden-aan-go-scholen-bij-meer-dan-gemiddelde-toename-aantal-leerlingen-na-1-februari/" TargetMode="External"/><Relationship Id="rId2" Type="http://schemas.openxmlformats.org/officeDocument/2006/relationships/hyperlink" Target="https://www.rijksoverheid.nl/documenten/publicaties/2022/03/31/herverdeeleffectenmodel-en-totstandkoming-bedragen-voor-de-vereenvoudiging-bekostiging-po" TargetMode="External"/><Relationship Id="rId1" Type="http://schemas.openxmlformats.org/officeDocument/2006/relationships/hyperlink" Target="https://www.rijksoverheid.nl/documenten/publicaties/2022/03/31/herverdeeleffectenmodel-en-totstandkoming-bedragen-voor-de-vereenvoudiging-bekostiging-po" TargetMode="External"/><Relationship Id="rId6" Type="http://schemas.openxmlformats.org/officeDocument/2006/relationships/printerSettings" Target="../printerSettings/printerSettings7.bin"/><Relationship Id="rId5" Type="http://schemas.openxmlformats.org/officeDocument/2006/relationships/hyperlink" Target="https://www.poraad.nl/werkgeverschap/financien/vereenvoudiging-bekostiging/overgangsregeling-2023-2025-vereenvoudiging" TargetMode="External"/><Relationship Id="rId4" Type="http://schemas.openxmlformats.org/officeDocument/2006/relationships/hyperlink" Target="https://www.steunpuntpassendonderwijs-povo.nl/actualiteit/handreiking-vangnetbepaling-go-scholen-aanvullende-bekostiging-vanuit-samenwerkingsverbanden-aan-go-scholen-bij-meer-dan-gemiddelde-toename-aantal-leerlingen-na-1-februari/"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2DF0-04A1-4AF8-BEE0-432136E5F08C}">
  <sheetPr>
    <tabColor theme="0" tint="-4.9989318521683403E-2"/>
    <pageSetUpPr fitToPage="1"/>
  </sheetPr>
  <dimension ref="A1:L32"/>
  <sheetViews>
    <sheetView tabSelected="1" zoomScale="85" zoomScaleNormal="85" workbookViewId="0">
      <selection activeCell="B4" sqref="B4"/>
    </sheetView>
  </sheetViews>
  <sheetFormatPr defaultRowHeight="12.9" customHeight="1" x14ac:dyDescent="0.3"/>
  <cols>
    <col min="1" max="1" width="2.88671875" customWidth="1"/>
    <col min="2" max="2" width="108.6640625" customWidth="1"/>
    <col min="3" max="3" width="3.5546875" customWidth="1"/>
  </cols>
  <sheetData>
    <row r="1" spans="1:8" ht="12.9" customHeight="1" x14ac:dyDescent="0.3">
      <c r="A1" t="s">
        <v>0</v>
      </c>
    </row>
    <row r="2" spans="1:8" ht="12.9" customHeight="1" x14ac:dyDescent="0.3">
      <c r="A2" s="1"/>
      <c r="B2" s="9" t="s">
        <v>1</v>
      </c>
    </row>
    <row r="3" spans="1:8" ht="12.9" customHeight="1" x14ac:dyDescent="0.3">
      <c r="B3" s="76" t="s">
        <v>2</v>
      </c>
    </row>
    <row r="4" spans="1:8" ht="12.9" customHeight="1" x14ac:dyDescent="0.3">
      <c r="B4" s="65"/>
    </row>
    <row r="5" spans="1:8" ht="30" customHeight="1" x14ac:dyDescent="0.3">
      <c r="B5" s="74" t="s">
        <v>3</v>
      </c>
    </row>
    <row r="6" spans="1:8" ht="15" customHeight="1" x14ac:dyDescent="0.3">
      <c r="B6" s="74"/>
    </row>
    <row r="7" spans="1:8" ht="15" customHeight="1" x14ac:dyDescent="0.3">
      <c r="B7" s="74" t="s">
        <v>4</v>
      </c>
    </row>
    <row r="8" spans="1:8" ht="30" customHeight="1" x14ac:dyDescent="0.3">
      <c r="B8" s="75" t="s">
        <v>5</v>
      </c>
    </row>
    <row r="9" spans="1:8" ht="15" customHeight="1" x14ac:dyDescent="0.3">
      <c r="B9" s="74" t="s">
        <v>6</v>
      </c>
    </row>
    <row r="10" spans="1:8" ht="15" customHeight="1" x14ac:dyDescent="0.3">
      <c r="B10" s="73" t="s">
        <v>7</v>
      </c>
    </row>
    <row r="11" spans="1:8" ht="15" customHeight="1" x14ac:dyDescent="0.3">
      <c r="B11" s="75"/>
    </row>
    <row r="12" spans="1:8" ht="28.2" customHeight="1" x14ac:dyDescent="0.3">
      <c r="B12" s="74" t="s">
        <v>8</v>
      </c>
    </row>
    <row r="13" spans="1:8" ht="15" customHeight="1" x14ac:dyDescent="0.3">
      <c r="B13" s="77"/>
    </row>
    <row r="14" spans="1:8" ht="30" customHeight="1" x14ac:dyDescent="0.3">
      <c r="B14" s="74" t="s">
        <v>9</v>
      </c>
    </row>
    <row r="15" spans="1:8" ht="30" customHeight="1" x14ac:dyDescent="0.3">
      <c r="B15" s="77" t="s">
        <v>10</v>
      </c>
      <c r="H15" s="73"/>
    </row>
    <row r="16" spans="1:8" ht="15" customHeight="1" x14ac:dyDescent="0.3">
      <c r="B16" s="73" t="s">
        <v>11</v>
      </c>
    </row>
    <row r="17" spans="2:12" ht="15" customHeight="1" x14ac:dyDescent="0.3">
      <c r="B17" s="74"/>
    </row>
    <row r="18" spans="2:12" ht="30" customHeight="1" x14ac:dyDescent="0.3">
      <c r="B18" s="74" t="s">
        <v>12</v>
      </c>
    </row>
    <row r="19" spans="2:12" ht="15" customHeight="1" x14ac:dyDescent="0.3">
      <c r="B19" s="74"/>
    </row>
    <row r="20" spans="2:12" ht="30" customHeight="1" x14ac:dyDescent="0.3">
      <c r="B20" s="74" t="s">
        <v>13</v>
      </c>
    </row>
    <row r="21" spans="2:12" ht="15" customHeight="1" x14ac:dyDescent="0.3">
      <c r="B21" s="74" t="s">
        <v>14</v>
      </c>
      <c r="L21" s="73"/>
    </row>
    <row r="22" spans="2:12" ht="15" customHeight="1" x14ac:dyDescent="0.3">
      <c r="B22" s="75" t="s">
        <v>7</v>
      </c>
    </row>
    <row r="23" spans="2:12" ht="12.9" customHeight="1" x14ac:dyDescent="0.3">
      <c r="B23" s="74"/>
    </row>
    <row r="24" spans="2:12" ht="12.9" customHeight="1" x14ac:dyDescent="0.3">
      <c r="B24" s="74"/>
    </row>
    <row r="25" spans="2:12" ht="12.9" customHeight="1" x14ac:dyDescent="0.3">
      <c r="B25" s="74"/>
    </row>
    <row r="26" spans="2:12" ht="12.9" customHeight="1" x14ac:dyDescent="0.3">
      <c r="B26" s="74"/>
    </row>
    <row r="27" spans="2:12" ht="12.9" customHeight="1" x14ac:dyDescent="0.3">
      <c r="B27" s="74"/>
    </row>
    <row r="28" spans="2:12" ht="12.9" customHeight="1" x14ac:dyDescent="0.3">
      <c r="B28" s="74"/>
    </row>
    <row r="29" spans="2:12" ht="12.9" customHeight="1" x14ac:dyDescent="0.3">
      <c r="B29" s="74"/>
    </row>
    <row r="30" spans="2:12" ht="12.9" customHeight="1" x14ac:dyDescent="0.3">
      <c r="B30" s="74"/>
    </row>
    <row r="31" spans="2:12" ht="12.9" customHeight="1" x14ac:dyDescent="0.3">
      <c r="B31" s="74"/>
    </row>
    <row r="32" spans="2:12" ht="12.9" customHeight="1" x14ac:dyDescent="0.3">
      <c r="B32" s="74"/>
    </row>
  </sheetData>
  <sheetProtection algorithmName="SHA-512" hashValue="IzT9DytEw3T8MW2jMuLvf9eQ5mX0caw3E18Pb3Khj2uiPwzeXBjbVAEZaMtZExY2/fq+xu/Ug2kP/wZyLzNanA==" saltValue="ES1xgcUAx9lwRhD1DAU7rg==" spinCount="100000" sheet="1" objects="1" scenarios="1"/>
  <hyperlinks>
    <hyperlink ref="B8" r:id="rId1" xr:uid="{94CD886C-4AF3-4183-A03E-2D584B1B0D86}"/>
    <hyperlink ref="B22" r:id="rId2" xr:uid="{3CEF1584-A387-4C1B-8511-A2FF5255EF4D}"/>
    <hyperlink ref="B10" r:id="rId3" xr:uid="{6B7873C4-0A28-4EBC-92F2-2C4643C54173}"/>
  </hyperlinks>
  <pageMargins left="0.7" right="0.7" top="0.75" bottom="0.75" header="0.3" footer="0.3"/>
  <pageSetup paperSize="9" scale="76" orientation="portrait"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9DB68-397C-478A-8009-15E3D4A875FF}">
  <sheetPr>
    <tabColor theme="5" tint="0.79998168889431442"/>
  </sheetPr>
  <dimension ref="B2:L46"/>
  <sheetViews>
    <sheetView zoomScale="85" zoomScaleNormal="85" workbookViewId="0"/>
  </sheetViews>
  <sheetFormatPr defaultColWidth="8.6640625" defaultRowHeight="13.8" x14ac:dyDescent="0.3"/>
  <cols>
    <col min="1" max="2" width="2.5546875" style="1" customWidth="1"/>
    <col min="3" max="3" width="50.88671875" style="1" customWidth="1"/>
    <col min="4" max="4" width="1.88671875" style="1" customWidth="1"/>
    <col min="5" max="5" width="14.44140625" style="1" customWidth="1"/>
    <col min="6" max="6" width="1" style="1" customWidth="1"/>
    <col min="7" max="7" width="14.44140625" style="2" customWidth="1"/>
    <col min="8" max="11" width="14.44140625" style="1" customWidth="1"/>
    <col min="12" max="12" width="2.5546875" style="1" customWidth="1"/>
    <col min="13" max="16384" width="8.6640625" style="1"/>
  </cols>
  <sheetData>
    <row r="2" spans="2:12" ht="15.6" x14ac:dyDescent="0.3">
      <c r="B2" s="9" t="s">
        <v>248</v>
      </c>
    </row>
    <row r="4" spans="2:12" x14ac:dyDescent="0.3">
      <c r="B4" s="20"/>
      <c r="C4" s="21"/>
      <c r="D4" s="21"/>
      <c r="E4" s="21"/>
      <c r="F4" s="21"/>
      <c r="G4" s="22"/>
      <c r="H4" s="21"/>
      <c r="I4" s="21"/>
      <c r="J4" s="21"/>
      <c r="K4" s="21"/>
      <c r="L4" s="23"/>
    </row>
    <row r="5" spans="2:12" ht="12.9" customHeight="1" x14ac:dyDescent="0.3">
      <c r="B5" s="24"/>
      <c r="C5" s="1" t="s">
        <v>225</v>
      </c>
      <c r="E5" s="250" t="s">
        <v>249</v>
      </c>
      <c r="F5" s="258"/>
      <c r="G5" s="251"/>
      <c r="L5" s="25"/>
    </row>
    <row r="6" spans="2:12" ht="12.9" customHeight="1" x14ac:dyDescent="0.3">
      <c r="B6" s="24"/>
      <c r="C6" s="1" t="s">
        <v>227</v>
      </c>
      <c r="E6" s="255">
        <v>10002</v>
      </c>
      <c r="F6" s="259"/>
      <c r="G6" s="251"/>
      <c r="L6" s="25"/>
    </row>
    <row r="7" spans="2:12" x14ac:dyDescent="0.3">
      <c r="B7" s="24"/>
      <c r="L7" s="25"/>
    </row>
    <row r="8" spans="2:12" x14ac:dyDescent="0.3">
      <c r="B8" s="24"/>
      <c r="C8" s="10" t="s">
        <v>20</v>
      </c>
      <c r="D8" s="10"/>
      <c r="E8" s="11"/>
      <c r="F8" s="10"/>
      <c r="G8" s="12">
        <f>tab!F2</f>
        <v>2024</v>
      </c>
      <c r="H8" s="12">
        <f>tab!G2</f>
        <v>2025</v>
      </c>
      <c r="I8" s="12">
        <f>tab!H2</f>
        <v>2026</v>
      </c>
      <c r="J8" s="12">
        <f>tab!I2</f>
        <v>2027</v>
      </c>
      <c r="K8" s="12">
        <f>tab!J2</f>
        <v>2028</v>
      </c>
      <c r="L8" s="25"/>
    </row>
    <row r="9" spans="2:12" x14ac:dyDescent="0.3">
      <c r="B9" s="24"/>
      <c r="C9" s="10" t="s">
        <v>21</v>
      </c>
      <c r="D9" s="10"/>
      <c r="E9" s="149">
        <v>41183</v>
      </c>
      <c r="F9" s="10"/>
      <c r="G9" s="13">
        <v>45200</v>
      </c>
      <c r="H9" s="13">
        <v>45566</v>
      </c>
      <c r="I9" s="13">
        <v>45931</v>
      </c>
      <c r="J9" s="13">
        <v>46296</v>
      </c>
      <c r="K9" s="13">
        <v>46661</v>
      </c>
      <c r="L9" s="25"/>
    </row>
    <row r="10" spans="2:12" x14ac:dyDescent="0.3">
      <c r="B10" s="24"/>
      <c r="C10" s="3" t="s">
        <v>22</v>
      </c>
      <c r="D10" s="3"/>
      <c r="F10" s="3"/>
      <c r="G10" s="5"/>
      <c r="H10" s="5"/>
      <c r="I10" s="5"/>
      <c r="J10" s="5"/>
      <c r="K10" s="5"/>
      <c r="L10" s="25"/>
    </row>
    <row r="11" spans="2:12" x14ac:dyDescent="0.3">
      <c r="B11" s="24"/>
      <c r="C11" s="1" t="s">
        <v>250</v>
      </c>
      <c r="E11" s="138">
        <f>E15-E14-E13-E12</f>
        <v>12269.5</v>
      </c>
      <c r="G11" s="139">
        <f>G15-G14-G13-G12</f>
        <v>11901</v>
      </c>
      <c r="H11" s="139">
        <f t="shared" ref="H11:K11" si="0">H15-H14-H13-H12</f>
        <v>18295</v>
      </c>
      <c r="I11" s="139">
        <f t="shared" si="0"/>
        <v>18295</v>
      </c>
      <c r="J11" s="139">
        <f t="shared" si="0"/>
        <v>18295</v>
      </c>
      <c r="K11" s="139">
        <f t="shared" si="0"/>
        <v>18295</v>
      </c>
      <c r="L11" s="25"/>
    </row>
    <row r="12" spans="2:12" x14ac:dyDescent="0.3">
      <c r="B12" s="24"/>
      <c r="C12" s="1" t="s">
        <v>251</v>
      </c>
      <c r="E12" s="110"/>
      <c r="G12" s="53">
        <v>64</v>
      </c>
      <c r="H12" s="53">
        <f t="shared" ref="H12" si="1">G12</f>
        <v>64</v>
      </c>
      <c r="I12" s="53">
        <f t="shared" ref="I12" si="2">H12</f>
        <v>64</v>
      </c>
      <c r="J12" s="53">
        <f t="shared" ref="J12" si="3">I12</f>
        <v>64</v>
      </c>
      <c r="K12" s="53">
        <f t="shared" ref="K12" si="4">J12</f>
        <v>64</v>
      </c>
      <c r="L12" s="25"/>
    </row>
    <row r="13" spans="2:12" x14ac:dyDescent="0.3">
      <c r="B13" s="24"/>
      <c r="C13" s="1" t="s">
        <v>252</v>
      </c>
      <c r="E13" s="110">
        <v>1721.5</v>
      </c>
      <c r="G13" s="53">
        <v>1406</v>
      </c>
      <c r="H13" s="53">
        <f t="shared" ref="H13:K24" si="5">G13</f>
        <v>1406</v>
      </c>
      <c r="I13" s="53">
        <f t="shared" si="5"/>
        <v>1406</v>
      </c>
      <c r="J13" s="53">
        <f t="shared" si="5"/>
        <v>1406</v>
      </c>
      <c r="K13" s="53">
        <f t="shared" si="5"/>
        <v>1406</v>
      </c>
      <c r="L13" s="25"/>
    </row>
    <row r="14" spans="2:12" x14ac:dyDescent="0.3">
      <c r="B14" s="24"/>
      <c r="C14" s="1" t="s">
        <v>253</v>
      </c>
      <c r="E14" s="110">
        <v>515</v>
      </c>
      <c r="G14" s="53">
        <v>569</v>
      </c>
      <c r="H14" s="53">
        <f>G14</f>
        <v>569</v>
      </c>
      <c r="I14" s="53">
        <f>H14</f>
        <v>569</v>
      </c>
      <c r="J14" s="53">
        <f>I14</f>
        <v>569</v>
      </c>
      <c r="K14" s="53">
        <f>J14</f>
        <v>569</v>
      </c>
      <c r="L14" s="25"/>
    </row>
    <row r="15" spans="2:12" x14ac:dyDescent="0.3">
      <c r="B15" s="24"/>
      <c r="C15" s="3" t="s">
        <v>254</v>
      </c>
      <c r="D15" s="3"/>
      <c r="E15" s="137">
        <v>14506</v>
      </c>
      <c r="F15" s="3"/>
      <c r="G15" s="136">
        <v>13940</v>
      </c>
      <c r="H15" s="136">
        <v>20334</v>
      </c>
      <c r="I15" s="136">
        <v>20334</v>
      </c>
      <c r="J15" s="136">
        <v>20334</v>
      </c>
      <c r="K15" s="136">
        <v>20334</v>
      </c>
      <c r="L15" s="25"/>
    </row>
    <row r="16" spans="2:12" x14ac:dyDescent="0.3">
      <c r="B16" s="24"/>
      <c r="C16" s="1" t="s">
        <v>255</v>
      </c>
      <c r="E16" s="59"/>
      <c r="G16" s="53">
        <v>204</v>
      </c>
      <c r="H16" s="53">
        <f>G16</f>
        <v>204</v>
      </c>
      <c r="I16" s="53">
        <f t="shared" ref="I16:K16" si="6">H16</f>
        <v>204</v>
      </c>
      <c r="J16" s="53">
        <f t="shared" si="6"/>
        <v>204</v>
      </c>
      <c r="K16" s="53">
        <f t="shared" si="6"/>
        <v>204</v>
      </c>
      <c r="L16" s="25"/>
    </row>
    <row r="17" spans="2:12" x14ac:dyDescent="0.3">
      <c r="B17" s="24"/>
      <c r="C17" s="1" t="s">
        <v>256</v>
      </c>
      <c r="G17" s="138">
        <f>-0.5*G12</f>
        <v>-32</v>
      </c>
      <c r="H17" s="138">
        <f t="shared" ref="H17:K17" si="7">-0.5*H12</f>
        <v>-32</v>
      </c>
      <c r="I17" s="138">
        <f t="shared" si="7"/>
        <v>-32</v>
      </c>
      <c r="J17" s="138">
        <f t="shared" si="7"/>
        <v>-32</v>
      </c>
      <c r="K17" s="138">
        <f t="shared" si="7"/>
        <v>-32</v>
      </c>
      <c r="L17" s="25"/>
    </row>
    <row r="18" spans="2:12" x14ac:dyDescent="0.3">
      <c r="B18" s="24"/>
      <c r="C18" s="3" t="s">
        <v>257</v>
      </c>
      <c r="G18" s="140">
        <f>SUM(G15:G17)</f>
        <v>14112</v>
      </c>
      <c r="H18" s="140">
        <f t="shared" ref="H18:K18" si="8">SUM(H15:H17)</f>
        <v>20506</v>
      </c>
      <c r="I18" s="140">
        <f t="shared" si="8"/>
        <v>20506</v>
      </c>
      <c r="J18" s="140">
        <f t="shared" si="8"/>
        <v>20506</v>
      </c>
      <c r="K18" s="140">
        <f t="shared" si="8"/>
        <v>20506</v>
      </c>
      <c r="L18" s="25"/>
    </row>
    <row r="19" spans="2:12" x14ac:dyDescent="0.3">
      <c r="B19" s="24"/>
      <c r="G19" s="1"/>
      <c r="L19" s="25"/>
    </row>
    <row r="20" spans="2:12" x14ac:dyDescent="0.3">
      <c r="B20" s="24"/>
      <c r="C20" s="109" t="s">
        <v>258</v>
      </c>
      <c r="D20" s="109"/>
      <c r="F20" s="109"/>
      <c r="G20" s="1"/>
      <c r="L20" s="25"/>
    </row>
    <row r="21" spans="2:12" x14ac:dyDescent="0.3">
      <c r="B21" s="24"/>
      <c r="C21" s="10" t="s">
        <v>21</v>
      </c>
      <c r="D21" s="10"/>
      <c r="F21" s="10"/>
      <c r="G21" s="13" t="str">
        <f>tab!F4</f>
        <v>1-2-2023</v>
      </c>
      <c r="H21" s="13" t="str">
        <f>tab!G4</f>
        <v>1-2-2024</v>
      </c>
      <c r="I21" s="13" t="str">
        <f>tab!H4</f>
        <v>1-2-2025</v>
      </c>
      <c r="J21" s="13" t="str">
        <f>tab!I4</f>
        <v>1-2-2026</v>
      </c>
      <c r="K21" s="13" t="str">
        <f>tab!J4</f>
        <v>1-2-2027</v>
      </c>
      <c r="L21" s="25"/>
    </row>
    <row r="22" spans="2:12" x14ac:dyDescent="0.3">
      <c r="B22" s="24"/>
      <c r="C22" s="1" t="s">
        <v>259</v>
      </c>
      <c r="G22" s="53">
        <v>437</v>
      </c>
      <c r="H22" s="53">
        <f t="shared" si="5"/>
        <v>437</v>
      </c>
      <c r="I22" s="53">
        <f t="shared" si="5"/>
        <v>437</v>
      </c>
      <c r="J22" s="53">
        <f t="shared" si="5"/>
        <v>437</v>
      </c>
      <c r="K22" s="53">
        <f t="shared" si="5"/>
        <v>437</v>
      </c>
      <c r="L22" s="25"/>
    </row>
    <row r="23" spans="2:12" x14ac:dyDescent="0.3">
      <c r="B23" s="24"/>
      <c r="C23" s="1" t="s">
        <v>260</v>
      </c>
      <c r="G23" s="53">
        <v>39</v>
      </c>
      <c r="H23" s="53">
        <f t="shared" si="5"/>
        <v>39</v>
      </c>
      <c r="I23" s="53">
        <f t="shared" si="5"/>
        <v>39</v>
      </c>
      <c r="J23" s="53">
        <f t="shared" si="5"/>
        <v>39</v>
      </c>
      <c r="K23" s="53">
        <f t="shared" si="5"/>
        <v>39</v>
      </c>
      <c r="L23" s="25"/>
    </row>
    <row r="24" spans="2:12" x14ac:dyDescent="0.3">
      <c r="B24" s="24"/>
      <c r="C24" s="1" t="s">
        <v>261</v>
      </c>
      <c r="G24" s="53">
        <v>41</v>
      </c>
      <c r="H24" s="53">
        <f t="shared" si="5"/>
        <v>41</v>
      </c>
      <c r="I24" s="53">
        <f t="shared" si="5"/>
        <v>41</v>
      </c>
      <c r="J24" s="53">
        <f t="shared" si="5"/>
        <v>41</v>
      </c>
      <c r="K24" s="53">
        <f t="shared" si="5"/>
        <v>41</v>
      </c>
      <c r="L24" s="25"/>
    </row>
    <row r="25" spans="2:12" x14ac:dyDescent="0.3">
      <c r="B25" s="24"/>
      <c r="G25" s="1"/>
      <c r="L25" s="25"/>
    </row>
    <row r="26" spans="2:12" x14ac:dyDescent="0.3">
      <c r="B26" s="24"/>
      <c r="C26" s="1" t="s">
        <v>262</v>
      </c>
      <c r="E26" s="141">
        <f>E13/E15</f>
        <v>0.11867503102164621</v>
      </c>
      <c r="G26" s="142"/>
      <c r="H26" s="142"/>
      <c r="I26" s="142"/>
      <c r="J26" s="142"/>
      <c r="K26" s="142"/>
      <c r="L26" s="25"/>
    </row>
    <row r="27" spans="2:12" x14ac:dyDescent="0.3">
      <c r="B27" s="24"/>
      <c r="C27" s="1" t="s">
        <v>263</v>
      </c>
      <c r="E27" s="141">
        <f>E14/E15</f>
        <v>3.550255066868882E-2</v>
      </c>
      <c r="G27" s="142"/>
      <c r="H27" s="142"/>
      <c r="I27" s="142"/>
      <c r="J27" s="142"/>
      <c r="K27" s="142"/>
      <c r="L27" s="25"/>
    </row>
    <row r="28" spans="2:12" x14ac:dyDescent="0.3">
      <c r="B28" s="24"/>
      <c r="G28" s="4"/>
      <c r="H28" s="4"/>
      <c r="I28" s="4"/>
      <c r="J28" s="4"/>
      <c r="K28" s="4"/>
      <c r="L28" s="25"/>
    </row>
    <row r="29" spans="2:12" x14ac:dyDescent="0.3">
      <c r="B29" s="24"/>
      <c r="C29" s="1" t="s">
        <v>264</v>
      </c>
      <c r="E29" s="3"/>
      <c r="G29" s="82">
        <f>G18*tab!F73</f>
        <v>1631770.5599999998</v>
      </c>
      <c r="H29" s="82">
        <f>H18*tab!G73</f>
        <v>2371108.7799999998</v>
      </c>
      <c r="I29" s="82">
        <f>I18*tab!H73</f>
        <v>2371108.7799999998</v>
      </c>
      <c r="J29" s="82">
        <f>J18*tab!I73</f>
        <v>2371108.7799999998</v>
      </c>
      <c r="K29" s="82">
        <f>K18*tab!J73</f>
        <v>2371108.7799999998</v>
      </c>
      <c r="L29" s="25"/>
    </row>
    <row r="30" spans="2:12" x14ac:dyDescent="0.3">
      <c r="B30" s="24"/>
      <c r="C30" s="1" t="s">
        <v>265</v>
      </c>
      <c r="E30" s="3"/>
      <c r="G30" s="82">
        <f>G18*$E26*tab!F74</f>
        <v>9188589.4222087394</v>
      </c>
      <c r="H30" s="82">
        <f>H18*$E26*tab!G74</f>
        <v>13351843.4447146</v>
      </c>
      <c r="I30" s="82">
        <f>I18*$E26*tab!H74</f>
        <v>13351843.4447146</v>
      </c>
      <c r="J30" s="82">
        <f>J18*$E26*tab!I74</f>
        <v>13351843.4447146</v>
      </c>
      <c r="K30" s="82">
        <f>K18*$E26*tab!J74</f>
        <v>13351843.4447146</v>
      </c>
      <c r="L30" s="25"/>
    </row>
    <row r="31" spans="2:12" x14ac:dyDescent="0.3">
      <c r="B31" s="24"/>
      <c r="C31" s="1" t="s">
        <v>266</v>
      </c>
      <c r="E31" s="3"/>
      <c r="G31" s="82">
        <f>G18*$E27*tab!F74</f>
        <v>2748837.3816076107</v>
      </c>
      <c r="H31" s="82">
        <f>H18*$E27*tab!G74</f>
        <v>3994306.9265338476</v>
      </c>
      <c r="I31" s="82">
        <f>I18*$E27*tab!H74</f>
        <v>3994306.9265338476</v>
      </c>
      <c r="J31" s="82">
        <f>J18*$E27*tab!I74</f>
        <v>3994306.9265338476</v>
      </c>
      <c r="K31" s="82">
        <f>K18*$E27*tab!J74</f>
        <v>3994306.9265338476</v>
      </c>
      <c r="L31" s="25"/>
    </row>
    <row r="32" spans="2:12" x14ac:dyDescent="0.3">
      <c r="B32" s="24"/>
      <c r="C32" s="1" t="s">
        <v>267</v>
      </c>
      <c r="E32" s="3"/>
      <c r="G32" s="82">
        <f>G18*tab!F75</f>
        <v>11053238.198040865</v>
      </c>
      <c r="H32" s="82">
        <f>H18*tab!G75</f>
        <v>16061345.131025083</v>
      </c>
      <c r="I32" s="82">
        <f>I18*tab!H75</f>
        <v>16061345.131025083</v>
      </c>
      <c r="J32" s="82">
        <f>J18*tab!I75</f>
        <v>16061345.131025083</v>
      </c>
      <c r="K32" s="82">
        <f>K18*tab!J75</f>
        <v>16061345.131025083</v>
      </c>
      <c r="L32" s="25"/>
    </row>
    <row r="33" spans="2:12" x14ac:dyDescent="0.3">
      <c r="B33" s="24"/>
      <c r="C33" s="3" t="s">
        <v>268</v>
      </c>
      <c r="D33" s="3"/>
      <c r="E33" s="3"/>
      <c r="F33" s="3"/>
      <c r="G33" s="6">
        <f>SUM(G29:G32)</f>
        <v>24622435.561857216</v>
      </c>
      <c r="H33" s="6">
        <f>SUM(H29:H32)</f>
        <v>35778604.282273531</v>
      </c>
      <c r="I33" s="6">
        <f>SUM(I29:I32)</f>
        <v>35778604.282273531</v>
      </c>
      <c r="J33" s="6">
        <f>SUM(J29:J32)</f>
        <v>35778604.282273531</v>
      </c>
      <c r="K33" s="6">
        <f>SUM(K29:K32)</f>
        <v>35778604.282273531</v>
      </c>
      <c r="L33" s="25"/>
    </row>
    <row r="34" spans="2:12" x14ac:dyDescent="0.3">
      <c r="B34" s="24"/>
      <c r="C34" s="3"/>
      <c r="D34" s="3"/>
      <c r="E34" s="3"/>
      <c r="F34" s="3"/>
      <c r="G34" s="6"/>
      <c r="H34" s="6"/>
      <c r="I34" s="6"/>
      <c r="J34" s="6"/>
      <c r="K34" s="6"/>
      <c r="L34" s="25"/>
    </row>
    <row r="35" spans="2:12" x14ac:dyDescent="0.3">
      <c r="B35" s="24"/>
      <c r="C35" s="7" t="s">
        <v>239</v>
      </c>
      <c r="D35" s="7"/>
      <c r="E35" s="3"/>
      <c r="F35" s="7"/>
      <c r="G35" s="6"/>
      <c r="H35" s="6"/>
      <c r="I35" s="6"/>
      <c r="J35" s="6"/>
      <c r="K35" s="6"/>
      <c r="L35" s="25"/>
    </row>
    <row r="36" spans="2:12" x14ac:dyDescent="0.3">
      <c r="B36" s="24"/>
      <c r="C36" s="1" t="s">
        <v>269</v>
      </c>
      <c r="E36" s="3"/>
      <c r="G36" s="2">
        <f>G13*tab!F74</f>
        <v>7714117.4199999999</v>
      </c>
      <c r="H36" s="2">
        <f>H13*tab!G74</f>
        <v>7714117.4199999999</v>
      </c>
      <c r="I36" s="2">
        <f>I13*tab!H74</f>
        <v>7714117.4199999999</v>
      </c>
      <c r="J36" s="2">
        <f>J13*tab!I74</f>
        <v>7714117.4199999999</v>
      </c>
      <c r="K36" s="2">
        <f>K13*tab!J74</f>
        <v>7714117.4199999999</v>
      </c>
      <c r="L36" s="25"/>
    </row>
    <row r="37" spans="2:12" x14ac:dyDescent="0.3">
      <c r="B37" s="24"/>
      <c r="C37" s="1" t="s">
        <v>270</v>
      </c>
      <c r="E37" s="3"/>
      <c r="G37" s="2">
        <f>G14*tab!F74</f>
        <v>3121858.3299999996</v>
      </c>
      <c r="H37" s="2">
        <f>H14*tab!G74</f>
        <v>3121858.3299999996</v>
      </c>
      <c r="I37" s="2">
        <f>I14*tab!H74</f>
        <v>3121858.3299999996</v>
      </c>
      <c r="J37" s="2">
        <f>J14*tab!I74</f>
        <v>3121858.3299999996</v>
      </c>
      <c r="K37" s="2">
        <f>K14*tab!J74</f>
        <v>3121858.3299999996</v>
      </c>
      <c r="L37" s="25"/>
    </row>
    <row r="38" spans="2:12" x14ac:dyDescent="0.3">
      <c r="B38" s="24"/>
      <c r="C38" s="1" t="s">
        <v>241</v>
      </c>
      <c r="E38" s="3"/>
      <c r="G38" s="2">
        <f>(G22*tab!F76)+(G23*tab!F77)+(G24*tab!F78)</f>
        <v>8183470.5019798568</v>
      </c>
      <c r="H38" s="2">
        <f>(H22*tab!G76)+(H23*tab!G77)+(H24*tab!G78)</f>
        <v>8183470.5019798568</v>
      </c>
      <c r="I38" s="2">
        <f>(I22*tab!H76)+(I23*tab!H77)+(I24*tab!H78)</f>
        <v>8183470.5019798568</v>
      </c>
      <c r="J38" s="2">
        <f>(J22*tab!I76)+(J23*tab!I77)+(J24*tab!I78)</f>
        <v>8183470.5019798568</v>
      </c>
      <c r="K38" s="2">
        <f>(K22*tab!J76)+(K23*tab!J77)+(K24*tab!J78)</f>
        <v>8183470.5019798568</v>
      </c>
      <c r="L38" s="25"/>
    </row>
    <row r="39" spans="2:12" x14ac:dyDescent="0.3">
      <c r="B39" s="24"/>
      <c r="E39" s="3"/>
      <c r="H39" s="2"/>
      <c r="I39" s="2"/>
      <c r="J39" s="2"/>
      <c r="K39" s="2"/>
      <c r="L39" s="25"/>
    </row>
    <row r="40" spans="2:12" x14ac:dyDescent="0.3">
      <c r="B40" s="24"/>
      <c r="C40" s="3" t="s">
        <v>271</v>
      </c>
      <c r="D40" s="3"/>
      <c r="E40" s="3"/>
      <c r="F40" s="3"/>
      <c r="G40" s="108">
        <f>G41+G42</f>
        <v>5602989.3098773593</v>
      </c>
      <c r="H40" s="108">
        <f t="shared" ref="H40:K40" si="9">H41+H42</f>
        <v>16759158.030293673</v>
      </c>
      <c r="I40" s="108">
        <f t="shared" si="9"/>
        <v>16759158.030293673</v>
      </c>
      <c r="J40" s="108">
        <f t="shared" si="9"/>
        <v>16759158.030293673</v>
      </c>
      <c r="K40" s="108">
        <f t="shared" si="9"/>
        <v>16759158.030293673</v>
      </c>
      <c r="L40" s="25"/>
    </row>
    <row r="41" spans="2:12" x14ac:dyDescent="0.3">
      <c r="B41" s="24"/>
      <c r="C41" s="1" t="s">
        <v>243</v>
      </c>
      <c r="E41" s="3"/>
      <c r="G41" s="82">
        <f>IF(SUM(G29:G31)-SUM(G36:G37)&lt;0,0,SUM(G29:G31)-SUM(G36:G37))</f>
        <v>2733221.6138163507</v>
      </c>
      <c r="H41" s="82">
        <f t="shared" ref="H41:K41" si="10">IF(SUM(H29:H31)-SUM(H36:H37)&lt;0,0,SUM(H29:H31)-SUM(H36:H37))</f>
        <v>8881283.4012484476</v>
      </c>
      <c r="I41" s="82">
        <f t="shared" si="10"/>
        <v>8881283.4012484476</v>
      </c>
      <c r="J41" s="82">
        <f t="shared" si="10"/>
        <v>8881283.4012484476</v>
      </c>
      <c r="K41" s="82">
        <f t="shared" si="10"/>
        <v>8881283.4012484476</v>
      </c>
      <c r="L41" s="25"/>
    </row>
    <row r="42" spans="2:12" x14ac:dyDescent="0.3">
      <c r="B42" s="24"/>
      <c r="C42" s="1" t="s">
        <v>244</v>
      </c>
      <c r="E42" s="3"/>
      <c r="G42" s="82">
        <f>IF(G32-G38&lt;0,0,G32-G38)</f>
        <v>2869767.6960610086</v>
      </c>
      <c r="H42" s="82">
        <f t="shared" ref="H42:K42" si="11">IF(H32-H38&lt;0,0,H32-H38)</f>
        <v>7877874.6290452266</v>
      </c>
      <c r="I42" s="82">
        <f t="shared" si="11"/>
        <v>7877874.6290452266</v>
      </c>
      <c r="J42" s="82">
        <f t="shared" si="11"/>
        <v>7877874.6290452266</v>
      </c>
      <c r="K42" s="82">
        <f t="shared" si="11"/>
        <v>7877874.6290452266</v>
      </c>
      <c r="L42" s="25"/>
    </row>
    <row r="43" spans="2:12" x14ac:dyDescent="0.3">
      <c r="B43" s="26"/>
      <c r="C43" s="28"/>
      <c r="D43" s="28"/>
      <c r="E43" s="28"/>
      <c r="F43" s="28"/>
      <c r="G43" s="29"/>
      <c r="H43" s="29"/>
      <c r="I43" s="29"/>
      <c r="J43" s="29"/>
      <c r="K43" s="29"/>
      <c r="L43" s="27"/>
    </row>
    <row r="44" spans="2:12" x14ac:dyDescent="0.3">
      <c r="B44" s="21"/>
      <c r="C44" s="66"/>
      <c r="D44" s="66"/>
      <c r="E44" s="66"/>
      <c r="F44" s="66"/>
      <c r="G44" s="67"/>
      <c r="H44" s="67"/>
      <c r="I44" s="67"/>
      <c r="J44" s="67"/>
      <c r="K44" s="67"/>
      <c r="L44" s="21"/>
    </row>
    <row r="45" spans="2:12" ht="25.5" customHeight="1" x14ac:dyDescent="0.3">
      <c r="C45" s="257" t="s">
        <v>246</v>
      </c>
      <c r="D45" s="257"/>
      <c r="E45" s="257"/>
      <c r="F45" s="257"/>
      <c r="G45" s="257"/>
      <c r="H45" s="257"/>
      <c r="I45" s="257"/>
      <c r="J45" s="257"/>
      <c r="K45" s="257"/>
    </row>
    <row r="46" spans="2:12" ht="25.5" customHeight="1" x14ac:dyDescent="0.3">
      <c r="C46" s="257" t="s">
        <v>272</v>
      </c>
      <c r="D46" s="257"/>
      <c r="E46" s="257"/>
      <c r="F46" s="257"/>
      <c r="G46" s="257"/>
      <c r="H46" s="257"/>
      <c r="I46" s="257"/>
      <c r="J46" s="257"/>
      <c r="K46" s="257"/>
    </row>
  </sheetData>
  <sheetProtection algorithmName="SHA-512" hashValue="fKsjrY7WQr2zFOC7dwKL6/IIMMjFABwZUWYJ1H/8qiDuH62vFnSPIJPYTD7bj+dtaekeA5BUX1CcH69JvLQ2ww==" saltValue="zzI89K60jps0VFzqdyctKw==" spinCount="100000" sheet="1" objects="1" scenarios="1"/>
  <mergeCells count="4">
    <mergeCell ref="E5:G5"/>
    <mergeCell ref="E6:G6"/>
    <mergeCell ref="C46:K46"/>
    <mergeCell ref="C45:K45"/>
  </mergeCells>
  <pageMargins left="0.70866141732283472" right="0.70866141732283472" top="0.74803149606299213" bottom="0.74803149606299213" header="0.31496062992125984" footer="0.31496062992125984"/>
  <pageSetup paperSize="9" scale="6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08521-9427-4FEB-8702-D7C81D5D912A}">
  <sheetPr>
    <tabColor theme="0" tint="-4.9989318521683403E-2"/>
  </sheetPr>
  <dimension ref="A1:X97"/>
  <sheetViews>
    <sheetView zoomScale="85" zoomScaleNormal="85" zoomScaleSheetLayoutView="85" workbookViewId="0">
      <selection activeCell="U32" sqref="U32"/>
    </sheetView>
  </sheetViews>
  <sheetFormatPr defaultColWidth="8.6640625" defaultRowHeight="13.8" x14ac:dyDescent="0.3"/>
  <cols>
    <col min="1" max="1" width="45.88671875" style="1" customWidth="1"/>
    <col min="2" max="2" width="1.6640625" style="1" customWidth="1"/>
    <col min="3" max="3" width="12.6640625" style="1" hidden="1" customWidth="1"/>
    <col min="4" max="10" width="12.6640625" style="1" customWidth="1"/>
    <col min="11" max="11" width="2.6640625" style="1" customWidth="1"/>
    <col min="12" max="12" width="12.6640625" style="241" hidden="1" customWidth="1"/>
    <col min="13" max="14" width="12.6640625" style="231" customWidth="1"/>
    <col min="15" max="15" width="12.6640625" style="232" customWidth="1"/>
    <col min="16" max="17" width="8.6640625" style="231"/>
    <col min="18" max="18" width="10.33203125" style="1" bestFit="1" customWidth="1"/>
    <col min="19" max="19" width="11" style="1" bestFit="1" customWidth="1"/>
    <col min="20" max="20" width="10.33203125" style="1" bestFit="1" customWidth="1"/>
    <col min="21" max="22" width="8.6640625" style="1"/>
    <col min="23" max="23" width="12" style="1" bestFit="1" customWidth="1"/>
    <col min="24" max="24" width="14.33203125" style="1" bestFit="1" customWidth="1"/>
    <col min="25" max="16384" width="8.6640625" style="1"/>
  </cols>
  <sheetData>
    <row r="1" spans="1:24" s="15" customFormat="1" ht="27.6" x14ac:dyDescent="0.3">
      <c r="A1" s="170" t="s">
        <v>273</v>
      </c>
      <c r="B1" s="170"/>
      <c r="C1" s="220"/>
      <c r="D1" s="220" t="s">
        <v>274</v>
      </c>
      <c r="E1" s="220" t="s">
        <v>275</v>
      </c>
      <c r="F1" s="220" t="s">
        <v>276</v>
      </c>
      <c r="G1" s="220" t="str">
        <f>F1</f>
        <v xml:space="preserve">INDICATIE </v>
      </c>
      <c r="H1" s="220" t="str">
        <f>G1</f>
        <v xml:space="preserve">INDICATIE </v>
      </c>
      <c r="I1" s="220" t="str">
        <f>H1</f>
        <v xml:space="preserve">INDICATIE </v>
      </c>
      <c r="J1" s="220" t="str">
        <f>I1</f>
        <v xml:space="preserve">INDICATIE </v>
      </c>
      <c r="K1" s="171"/>
      <c r="L1" s="226"/>
      <c r="M1" s="227"/>
      <c r="N1" s="227"/>
      <c r="O1" s="228"/>
      <c r="P1" s="245"/>
      <c r="Q1" s="245"/>
    </row>
    <row r="2" spans="1:24" ht="14.4" x14ac:dyDescent="0.3">
      <c r="A2" s="152"/>
      <c r="B2" s="152"/>
      <c r="C2" s="153" t="s">
        <v>277</v>
      </c>
      <c r="D2" s="260">
        <v>2023</v>
      </c>
      <c r="E2" s="261"/>
      <c r="F2" s="153">
        <v>2024</v>
      </c>
      <c r="G2" s="153">
        <v>2025</v>
      </c>
      <c r="H2" s="153">
        <v>2026</v>
      </c>
      <c r="I2" s="153">
        <v>2027</v>
      </c>
      <c r="J2" s="153">
        <v>2028</v>
      </c>
      <c r="K2" s="152"/>
      <c r="L2" s="229"/>
      <c r="M2" s="230"/>
      <c r="N2" s="230"/>
      <c r="O2" s="228"/>
      <c r="P2" s="231">
        <v>2023</v>
      </c>
    </row>
    <row r="3" spans="1:24" x14ac:dyDescent="0.3">
      <c r="A3" s="154" t="s">
        <v>278</v>
      </c>
      <c r="B3" s="154"/>
      <c r="C3" s="157"/>
      <c r="D3" s="221">
        <v>44834</v>
      </c>
      <c r="E3" s="155">
        <v>45188</v>
      </c>
      <c r="F3" s="155" t="s">
        <v>279</v>
      </c>
      <c r="G3" s="156" t="str">
        <f>F3</f>
        <v>x-10-2023</v>
      </c>
      <c r="H3" s="156" t="str">
        <f>G3</f>
        <v>x-10-2023</v>
      </c>
      <c r="I3" s="156" t="str">
        <f>H3</f>
        <v>x-10-2023</v>
      </c>
      <c r="J3" s="156" t="str">
        <f>I3</f>
        <v>x-10-2023</v>
      </c>
      <c r="K3" s="152"/>
      <c r="M3" s="248">
        <f>ROUND(Q3*P3,6)</f>
        <v>1.2695E-2</v>
      </c>
      <c r="N3" s="249">
        <f>M3</f>
        <v>1.2695E-2</v>
      </c>
      <c r="O3" s="241"/>
      <c r="P3" s="246">
        <v>0.11700000000000001</v>
      </c>
      <c r="Q3" s="246">
        <v>0.1085</v>
      </c>
    </row>
    <row r="4" spans="1:24" ht="12.75" customHeight="1" x14ac:dyDescent="0.3">
      <c r="A4" s="154" t="s">
        <v>21</v>
      </c>
      <c r="B4" s="154"/>
      <c r="C4" s="157"/>
      <c r="D4" s="157" t="str">
        <f t="shared" ref="D4:J4" si="0">"1-2-"&amp;D2-1</f>
        <v>1-2-2022</v>
      </c>
      <c r="E4" s="157" t="str">
        <f>"1-2-"&amp;D2-1</f>
        <v>1-2-2022</v>
      </c>
      <c r="F4" s="157" t="str">
        <f t="shared" si="0"/>
        <v>1-2-2023</v>
      </c>
      <c r="G4" s="157" t="str">
        <f t="shared" si="0"/>
        <v>1-2-2024</v>
      </c>
      <c r="H4" s="157" t="str">
        <f t="shared" si="0"/>
        <v>1-2-2025</v>
      </c>
      <c r="I4" s="157" t="str">
        <f t="shared" si="0"/>
        <v>1-2-2026</v>
      </c>
      <c r="J4" s="157" t="str">
        <f t="shared" si="0"/>
        <v>1-2-2027</v>
      </c>
      <c r="K4" s="152"/>
      <c r="M4" s="248">
        <f>ROUND(Q4*P4,6)</f>
        <v>5.0993999999999998E-2</v>
      </c>
      <c r="N4" s="249">
        <f>E5-M3</f>
        <v>5.0872000000000001E-2</v>
      </c>
      <c r="P4" s="246">
        <v>5.7200000000000001E-2</v>
      </c>
      <c r="Q4" s="246">
        <v>0.89149999999999996</v>
      </c>
    </row>
    <row r="5" spans="1:24" x14ac:dyDescent="0.3">
      <c r="A5" s="172"/>
      <c r="B5" s="152"/>
      <c r="C5" s="152"/>
      <c r="D5" s="242">
        <f>11.7%*10.85%</f>
        <v>1.2694499999999999E-2</v>
      </c>
      <c r="E5" s="242">
        <v>6.3566999999999999E-2</v>
      </c>
      <c r="F5" s="242">
        <f>-0.14%*10.85%</f>
        <v>-1.5190000000000003E-4</v>
      </c>
      <c r="G5" s="152"/>
      <c r="H5" s="152"/>
      <c r="I5" s="152"/>
      <c r="J5" s="152"/>
      <c r="K5" s="152"/>
      <c r="L5" s="229"/>
      <c r="M5" s="248">
        <f>M3+M4</f>
        <v>6.3688999999999996E-2</v>
      </c>
      <c r="N5" s="249">
        <f>N3+N4</f>
        <v>6.3566999999999999E-2</v>
      </c>
      <c r="V5" s="243"/>
      <c r="X5" s="244"/>
    </row>
    <row r="6" spans="1:24" x14ac:dyDescent="0.3">
      <c r="A6" s="172"/>
      <c r="B6" s="152"/>
      <c r="C6" s="152"/>
      <c r="D6" s="178"/>
      <c r="E6" s="178"/>
      <c r="F6" s="157"/>
      <c r="G6" s="152"/>
      <c r="H6" s="152"/>
      <c r="I6" s="152"/>
      <c r="J6" s="152"/>
      <c r="K6" s="152"/>
      <c r="L6" s="229"/>
    </row>
    <row r="7" spans="1:24" s="3" customFormat="1" ht="14.4" x14ac:dyDescent="0.3">
      <c r="A7" s="158" t="s">
        <v>280</v>
      </c>
      <c r="B7" s="158"/>
      <c r="C7" s="159" t="s">
        <v>281</v>
      </c>
      <c r="D7" s="262">
        <v>2023</v>
      </c>
      <c r="E7" s="263"/>
      <c r="F7" s="159">
        <v>2024</v>
      </c>
      <c r="G7" s="159">
        <v>2025</v>
      </c>
      <c r="H7" s="159">
        <v>2026</v>
      </c>
      <c r="I7" s="159">
        <v>2027</v>
      </c>
      <c r="J7" s="159">
        <v>2028</v>
      </c>
      <c r="K7" s="160"/>
      <c r="L7" s="233" t="s">
        <v>282</v>
      </c>
      <c r="M7" s="233" t="s">
        <v>283</v>
      </c>
      <c r="N7" s="234" t="s">
        <v>284</v>
      </c>
      <c r="O7" s="233" t="s">
        <v>285</v>
      </c>
      <c r="P7" s="247"/>
      <c r="Q7" s="247"/>
    </row>
    <row r="8" spans="1:24" x14ac:dyDescent="0.3">
      <c r="A8" s="162" t="s">
        <v>286</v>
      </c>
      <c r="B8" s="162"/>
      <c r="C8" s="163">
        <f>D8/(D5+1)</f>
        <v>5729.0426678529411</v>
      </c>
      <c r="D8" s="163">
        <v>5801.77</v>
      </c>
      <c r="E8" s="163">
        <v>6093.05</v>
      </c>
      <c r="F8" s="163">
        <f>E8*(1+F$5)</f>
        <v>6092.1244657050001</v>
      </c>
      <c r="G8" s="164">
        <f>F8</f>
        <v>6092.1244657050001</v>
      </c>
      <c r="H8" s="164">
        <f>G8</f>
        <v>6092.1244657050001</v>
      </c>
      <c r="I8" s="164">
        <f>H8</f>
        <v>6092.1244657050001</v>
      </c>
      <c r="J8" s="164">
        <f>I8</f>
        <v>6092.1244657050001</v>
      </c>
      <c r="K8" s="165"/>
      <c r="L8" s="239">
        <f>(D8-C8)/C8</f>
        <v>1.2694500000000027E-2</v>
      </c>
      <c r="M8" s="235">
        <f>(E8-C8)/C8</f>
        <v>6.3537200410391986E-2</v>
      </c>
      <c r="N8" s="235">
        <f>(E8-D8)/D8</f>
        <v>5.0205368361724047E-2</v>
      </c>
      <c r="O8" s="235">
        <f t="shared" ref="O8:O27" si="1">(F8-E8)/E8</f>
        <v>-1.5190000000000559E-4</v>
      </c>
      <c r="R8" s="2"/>
      <c r="S8" s="2"/>
      <c r="T8" s="2"/>
    </row>
    <row r="9" spans="1:24" x14ac:dyDescent="0.3">
      <c r="A9" s="162" t="s">
        <v>287</v>
      </c>
      <c r="B9" s="162"/>
      <c r="C9" s="163">
        <v>84451.95</v>
      </c>
      <c r="D9" s="163">
        <v>85496.320000000007</v>
      </c>
      <c r="E9" s="163">
        <v>89806.35</v>
      </c>
      <c r="F9" s="163">
        <f t="shared" ref="F9:F19" si="2">E9*(1+F$5)</f>
        <v>89792.708415435001</v>
      </c>
      <c r="G9" s="164">
        <f t="shared" ref="G9:J24" si="3">F9</f>
        <v>89792.708415435001</v>
      </c>
      <c r="H9" s="164">
        <f t="shared" si="3"/>
        <v>89792.708415435001</v>
      </c>
      <c r="I9" s="164">
        <f t="shared" si="3"/>
        <v>89792.708415435001</v>
      </c>
      <c r="J9" s="164">
        <f t="shared" si="3"/>
        <v>89792.708415435001</v>
      </c>
      <c r="K9" s="165"/>
      <c r="L9" s="239">
        <f>(D9-C9)/C9</f>
        <v>1.2366440324942289E-2</v>
      </c>
      <c r="M9" s="235">
        <f>(E9-C9)/C9</f>
        <v>6.3401733174900152E-2</v>
      </c>
      <c r="N9" s="235">
        <f>(E9-D9)/D9</f>
        <v>5.0411877376710462E-2</v>
      </c>
      <c r="O9" s="235">
        <f>(F9-E9)/E9</f>
        <v>-1.5190000000004955E-4</v>
      </c>
    </row>
    <row r="10" spans="1:24" x14ac:dyDescent="0.3">
      <c r="A10" s="162" t="s">
        <v>288</v>
      </c>
      <c r="B10" s="162"/>
      <c r="C10" s="163">
        <v>102817.58</v>
      </c>
      <c r="D10" s="163">
        <v>104095.1</v>
      </c>
      <c r="E10" s="163">
        <v>109339.43</v>
      </c>
      <c r="F10" s="163">
        <f t="shared" si="2"/>
        <v>109322.82134058299</v>
      </c>
      <c r="G10" s="164">
        <f t="shared" si="3"/>
        <v>109322.82134058299</v>
      </c>
      <c r="H10" s="164">
        <f t="shared" si="3"/>
        <v>109322.82134058299</v>
      </c>
      <c r="I10" s="164">
        <f t="shared" si="3"/>
        <v>109322.82134058299</v>
      </c>
      <c r="J10" s="164">
        <f t="shared" si="3"/>
        <v>109322.82134058299</v>
      </c>
      <c r="K10" s="165"/>
      <c r="L10" s="239">
        <f t="shared" ref="L10:L27" si="4">(D10-C10)/C10</f>
        <v>1.2425112514805386E-2</v>
      </c>
      <c r="M10" s="235">
        <f>(E10-C10)/C10</f>
        <v>6.3431273134419139E-2</v>
      </c>
      <c r="N10" s="235">
        <f t="shared" ref="N10:N27" si="5">(E10-D10)/D10</f>
        <v>5.0380181199691308E-2</v>
      </c>
      <c r="O10" s="235">
        <f t="shared" si="1"/>
        <v>-1.5190000000004275E-4</v>
      </c>
    </row>
    <row r="11" spans="1:24" x14ac:dyDescent="0.3">
      <c r="A11" s="162" t="s">
        <v>289</v>
      </c>
      <c r="B11" s="162"/>
      <c r="C11" s="163">
        <v>232299</v>
      </c>
      <c r="D11" s="163">
        <v>235248.04</v>
      </c>
      <c r="E11" s="163">
        <v>247065.55</v>
      </c>
      <c r="F11" s="163">
        <f t="shared" si="2"/>
        <v>247028.02074295501</v>
      </c>
      <c r="G11" s="164">
        <f t="shared" si="3"/>
        <v>247028.02074295501</v>
      </c>
      <c r="H11" s="164">
        <f t="shared" si="3"/>
        <v>247028.02074295501</v>
      </c>
      <c r="I11" s="164">
        <f t="shared" si="3"/>
        <v>247028.02074295501</v>
      </c>
      <c r="J11" s="164">
        <f t="shared" si="3"/>
        <v>247028.02074295501</v>
      </c>
      <c r="K11" s="165"/>
      <c r="L11" s="239">
        <f t="shared" si="4"/>
        <v>1.2695018058622758E-2</v>
      </c>
      <c r="M11" s="235">
        <f>(E11-C11)/C11</f>
        <v>6.3566997705543235E-2</v>
      </c>
      <c r="N11" s="235">
        <f t="shared" si="5"/>
        <v>5.0234254874131919E-2</v>
      </c>
      <c r="O11" s="235">
        <f t="shared" si="1"/>
        <v>-1.5189999999992688E-4</v>
      </c>
    </row>
    <row r="12" spans="1:24" x14ac:dyDescent="0.3">
      <c r="A12" s="162" t="s">
        <v>290</v>
      </c>
      <c r="B12" s="162"/>
      <c r="C12" s="163">
        <v>1548.66</v>
      </c>
      <c r="D12" s="163">
        <v>1568.32</v>
      </c>
      <c r="E12" s="163">
        <v>1647.1</v>
      </c>
      <c r="F12" s="163">
        <f t="shared" si="2"/>
        <v>1646.8498055099999</v>
      </c>
      <c r="G12" s="164">
        <f t="shared" si="3"/>
        <v>1646.8498055099999</v>
      </c>
      <c r="H12" s="164">
        <f t="shared" si="3"/>
        <v>1646.8498055099999</v>
      </c>
      <c r="I12" s="164">
        <f t="shared" si="3"/>
        <v>1646.8498055099999</v>
      </c>
      <c r="J12" s="164">
        <f t="shared" si="3"/>
        <v>1646.8498055099999</v>
      </c>
      <c r="K12" s="165"/>
      <c r="L12" s="239">
        <f t="shared" si="4"/>
        <v>1.2694845866749224E-2</v>
      </c>
      <c r="M12" s="235">
        <f>(E12-C12)/C12</f>
        <v>6.3564630067283856E-2</v>
      </c>
      <c r="N12" s="235">
        <f t="shared" si="5"/>
        <v>5.0232095490716167E-2</v>
      </c>
      <c r="O12" s="235">
        <f t="shared" si="1"/>
        <v>-1.5190000000000765E-4</v>
      </c>
    </row>
    <row r="13" spans="1:24" x14ac:dyDescent="0.3">
      <c r="A13" s="162" t="s">
        <v>291</v>
      </c>
      <c r="B13" s="162"/>
      <c r="C13" s="163">
        <v>410713.97</v>
      </c>
      <c r="D13" s="163">
        <v>415927.98</v>
      </c>
      <c r="E13" s="163">
        <v>436821.82</v>
      </c>
      <c r="F13" s="163">
        <f t="shared" si="2"/>
        <v>436755.46676554199</v>
      </c>
      <c r="G13" s="164">
        <f t="shared" si="3"/>
        <v>436755.46676554199</v>
      </c>
      <c r="H13" s="164">
        <f t="shared" si="3"/>
        <v>436755.46676554199</v>
      </c>
      <c r="I13" s="164">
        <f t="shared" si="3"/>
        <v>436755.46676554199</v>
      </c>
      <c r="J13" s="164">
        <f t="shared" si="3"/>
        <v>436755.46676554199</v>
      </c>
      <c r="K13" s="165"/>
      <c r="L13" s="239">
        <f t="shared" si="4"/>
        <v>1.2694990628149341E-2</v>
      </c>
      <c r="M13" s="235">
        <f t="shared" ref="M13:M27" si="6">(E13-C13)/C13</f>
        <v>6.3566987994102167E-2</v>
      </c>
      <c r="N13" s="235">
        <f t="shared" si="5"/>
        <v>5.0234273731716787E-2</v>
      </c>
      <c r="O13" s="235">
        <f t="shared" si="1"/>
        <v>-1.5190000000003717E-4</v>
      </c>
    </row>
    <row r="14" spans="1:24" x14ac:dyDescent="0.3">
      <c r="A14" s="162" t="s">
        <v>292</v>
      </c>
      <c r="B14" s="162"/>
      <c r="C14" s="163">
        <v>18167.849999999999</v>
      </c>
      <c r="D14" s="163">
        <v>18398.490000000002</v>
      </c>
      <c r="E14" s="163">
        <v>19322.73</v>
      </c>
      <c r="F14" s="163">
        <f t="shared" si="2"/>
        <v>19319.794877313001</v>
      </c>
      <c r="G14" s="164">
        <f t="shared" si="3"/>
        <v>19319.794877313001</v>
      </c>
      <c r="H14" s="164">
        <f t="shared" si="3"/>
        <v>19319.794877313001</v>
      </c>
      <c r="I14" s="164">
        <f t="shared" si="3"/>
        <v>19319.794877313001</v>
      </c>
      <c r="J14" s="164">
        <f t="shared" si="3"/>
        <v>19319.794877313001</v>
      </c>
      <c r="K14" s="165"/>
      <c r="L14" s="239">
        <f t="shared" si="4"/>
        <v>1.2694952897563722E-2</v>
      </c>
      <c r="M14" s="235">
        <f t="shared" si="6"/>
        <v>6.3567235528694976E-2</v>
      </c>
      <c r="N14" s="235">
        <f t="shared" si="5"/>
        <v>5.0234557292473343E-2</v>
      </c>
      <c r="O14" s="235">
        <f t="shared" si="1"/>
        <v>-1.5189999999992295E-4</v>
      </c>
    </row>
    <row r="15" spans="1:24" x14ac:dyDescent="0.3">
      <c r="A15" s="162" t="s">
        <v>293</v>
      </c>
      <c r="B15" s="162"/>
      <c r="C15" s="163">
        <v>702.71</v>
      </c>
      <c r="D15" s="163">
        <v>711.63</v>
      </c>
      <c r="E15" s="163">
        <v>747.86</v>
      </c>
      <c r="F15" s="163">
        <f t="shared" si="2"/>
        <v>747.74640006599998</v>
      </c>
      <c r="G15" s="164">
        <f t="shared" si="3"/>
        <v>747.74640006599998</v>
      </c>
      <c r="H15" s="164">
        <f t="shared" si="3"/>
        <v>747.74640006599998</v>
      </c>
      <c r="I15" s="164">
        <f t="shared" si="3"/>
        <v>747.74640006599998</v>
      </c>
      <c r="J15" s="164">
        <f t="shared" si="3"/>
        <v>747.74640006599998</v>
      </c>
      <c r="K15" s="165"/>
      <c r="L15" s="239">
        <f t="shared" si="4"/>
        <v>1.2693714334504929E-2</v>
      </c>
      <c r="M15" s="235">
        <f t="shared" si="6"/>
        <v>6.4251255852343037E-2</v>
      </c>
      <c r="N15" s="235">
        <f t="shared" si="5"/>
        <v>5.0911288169413906E-2</v>
      </c>
      <c r="O15" s="235">
        <f t="shared" si="1"/>
        <v>-1.5190000000004722E-4</v>
      </c>
    </row>
    <row r="16" spans="1:24" x14ac:dyDescent="0.3">
      <c r="A16" s="162" t="s">
        <v>294</v>
      </c>
      <c r="B16" s="162"/>
      <c r="C16" s="163">
        <v>121.81</v>
      </c>
      <c r="D16" s="163">
        <v>123.36</v>
      </c>
      <c r="E16" s="163">
        <v>129.55000000000001</v>
      </c>
      <c r="F16" s="163">
        <f t="shared" si="2"/>
        <v>129.53032135500001</v>
      </c>
      <c r="G16" s="164">
        <f t="shared" si="3"/>
        <v>129.53032135500001</v>
      </c>
      <c r="H16" s="164">
        <f t="shared" si="3"/>
        <v>129.53032135500001</v>
      </c>
      <c r="I16" s="164">
        <f t="shared" si="3"/>
        <v>129.53032135500001</v>
      </c>
      <c r="J16" s="164">
        <f t="shared" si="3"/>
        <v>129.53032135500001</v>
      </c>
      <c r="K16" s="165"/>
      <c r="L16" s="239">
        <f t="shared" si="4"/>
        <v>1.2724735243411847E-2</v>
      </c>
      <c r="M16" s="235">
        <f t="shared" si="6"/>
        <v>6.3541581150972901E-2</v>
      </c>
      <c r="N16" s="235">
        <f t="shared" si="5"/>
        <v>5.0178339818417739E-2</v>
      </c>
      <c r="O16" s="235">
        <f t="shared" si="1"/>
        <v>-1.5189999999999266E-4</v>
      </c>
    </row>
    <row r="17" spans="1:17" x14ac:dyDescent="0.3">
      <c r="A17" s="162" t="s">
        <v>295</v>
      </c>
      <c r="B17" s="162"/>
      <c r="C17" s="163">
        <v>21.3</v>
      </c>
      <c r="D17" s="163">
        <v>21.57</v>
      </c>
      <c r="E17" s="163">
        <v>22.65</v>
      </c>
      <c r="F17" s="163">
        <f t="shared" si="2"/>
        <v>22.646559464999999</v>
      </c>
      <c r="G17" s="164">
        <f t="shared" si="3"/>
        <v>22.646559464999999</v>
      </c>
      <c r="H17" s="164">
        <f t="shared" si="3"/>
        <v>22.646559464999999</v>
      </c>
      <c r="I17" s="164">
        <f t="shared" si="3"/>
        <v>22.646559464999999</v>
      </c>
      <c r="J17" s="164">
        <f t="shared" si="3"/>
        <v>22.646559464999999</v>
      </c>
      <c r="K17" s="165"/>
      <c r="L17" s="239">
        <f t="shared" si="4"/>
        <v>1.2676056338028149E-2</v>
      </c>
      <c r="M17" s="235">
        <f t="shared" si="6"/>
        <v>6.3380281690140747E-2</v>
      </c>
      <c r="N17" s="235">
        <f t="shared" si="5"/>
        <v>5.0069541029207153E-2</v>
      </c>
      <c r="O17" s="235">
        <f t="shared" si="1"/>
        <v>-1.5189999999996913E-4</v>
      </c>
    </row>
    <row r="18" spans="1:17" x14ac:dyDescent="0.3">
      <c r="A18" s="162" t="s">
        <v>296</v>
      </c>
      <c r="B18" s="162"/>
      <c r="C18" s="163">
        <v>35841.49</v>
      </c>
      <c r="D18" s="163">
        <v>36296.5</v>
      </c>
      <c r="E18" s="163">
        <v>38119.83</v>
      </c>
      <c r="F18" s="163">
        <f t="shared" si="2"/>
        <v>38114.039597823001</v>
      </c>
      <c r="G18" s="164">
        <f t="shared" si="3"/>
        <v>38114.039597823001</v>
      </c>
      <c r="H18" s="164">
        <f t="shared" si="3"/>
        <v>38114.039597823001</v>
      </c>
      <c r="I18" s="164">
        <f t="shared" si="3"/>
        <v>38114.039597823001</v>
      </c>
      <c r="J18" s="164">
        <f t="shared" si="3"/>
        <v>38114.039597823001</v>
      </c>
      <c r="K18" s="165"/>
      <c r="L18" s="239">
        <f t="shared" si="4"/>
        <v>1.2695063737584628E-2</v>
      </c>
      <c r="M18" s="235">
        <f t="shared" si="6"/>
        <v>6.3567111746749477E-2</v>
      </c>
      <c r="N18" s="235">
        <f t="shared" si="5"/>
        <v>5.0234320113509617E-2</v>
      </c>
      <c r="O18" s="235">
        <f t="shared" si="1"/>
        <v>-1.519000000000247E-4</v>
      </c>
    </row>
    <row r="19" spans="1:17" x14ac:dyDescent="0.3">
      <c r="A19" s="162" t="s">
        <v>297</v>
      </c>
      <c r="B19" s="162"/>
      <c r="C19" s="163">
        <v>642.14</v>
      </c>
      <c r="D19" s="163">
        <v>650.29</v>
      </c>
      <c r="E19" s="163">
        <v>682.96</v>
      </c>
      <c r="F19" s="163">
        <f t="shared" si="2"/>
        <v>682.85625837600003</v>
      </c>
      <c r="G19" s="164">
        <f t="shared" si="3"/>
        <v>682.85625837600003</v>
      </c>
      <c r="H19" s="164">
        <f t="shared" si="3"/>
        <v>682.85625837600003</v>
      </c>
      <c r="I19" s="164">
        <f t="shared" si="3"/>
        <v>682.85625837600003</v>
      </c>
      <c r="J19" s="164">
        <f t="shared" si="3"/>
        <v>682.85625837600003</v>
      </c>
      <c r="K19" s="165"/>
      <c r="L19" s="239">
        <f t="shared" si="4"/>
        <v>1.2691936337870212E-2</v>
      </c>
      <c r="M19" s="235">
        <f t="shared" si="6"/>
        <v>6.3568692185504802E-2</v>
      </c>
      <c r="N19" s="235">
        <f t="shared" si="5"/>
        <v>5.0239124083101501E-2</v>
      </c>
      <c r="O19" s="235">
        <f t="shared" si="1"/>
        <v>-1.5190000000001231E-4</v>
      </c>
    </row>
    <row r="20" spans="1:17" x14ac:dyDescent="0.3">
      <c r="A20" s="162" t="s">
        <v>298</v>
      </c>
      <c r="B20" s="162"/>
      <c r="C20" s="216">
        <f t="shared" ref="C20:J20" si="7">C8</f>
        <v>5729.0426678529411</v>
      </c>
      <c r="D20" s="216">
        <f t="shared" si="7"/>
        <v>5801.77</v>
      </c>
      <c r="E20" s="216">
        <f t="shared" si="7"/>
        <v>6093.05</v>
      </c>
      <c r="F20" s="216">
        <f t="shared" si="7"/>
        <v>6092.1244657050001</v>
      </c>
      <c r="G20" s="216">
        <f t="shared" si="7"/>
        <v>6092.1244657050001</v>
      </c>
      <c r="H20" s="216">
        <f t="shared" si="7"/>
        <v>6092.1244657050001</v>
      </c>
      <c r="I20" s="216">
        <f t="shared" si="7"/>
        <v>6092.1244657050001</v>
      </c>
      <c r="J20" s="216">
        <f t="shared" si="7"/>
        <v>6092.1244657050001</v>
      </c>
      <c r="K20" s="165"/>
      <c r="L20" s="239">
        <f t="shared" si="4"/>
        <v>1.2694500000000027E-2</v>
      </c>
      <c r="M20" s="235">
        <f t="shared" si="6"/>
        <v>6.3537200410391986E-2</v>
      </c>
      <c r="N20" s="235">
        <f t="shared" si="5"/>
        <v>5.0205368361724047E-2</v>
      </c>
      <c r="O20" s="235">
        <f t="shared" si="1"/>
        <v>-1.5190000000000559E-4</v>
      </c>
    </row>
    <row r="21" spans="1:17" x14ac:dyDescent="0.3">
      <c r="A21" s="162" t="s">
        <v>299</v>
      </c>
      <c r="B21" s="162"/>
      <c r="C21" s="163">
        <v>12275.02</v>
      </c>
      <c r="D21" s="163">
        <v>12430.85</v>
      </c>
      <c r="E21" s="163">
        <v>13055.31</v>
      </c>
      <c r="F21" s="163">
        <f t="shared" ref="F21:F28" si="8">E21*(1+F$5)</f>
        <v>13053.326898411</v>
      </c>
      <c r="G21" s="164">
        <f t="shared" si="3"/>
        <v>13053.326898411</v>
      </c>
      <c r="H21" s="164">
        <f t="shared" si="3"/>
        <v>13053.326898411</v>
      </c>
      <c r="I21" s="164">
        <f t="shared" si="3"/>
        <v>13053.326898411</v>
      </c>
      <c r="J21" s="164">
        <f t="shared" si="3"/>
        <v>13053.326898411</v>
      </c>
      <c r="K21" s="165"/>
      <c r="L21" s="239">
        <f t="shared" si="4"/>
        <v>1.2694887666170803E-2</v>
      </c>
      <c r="M21" s="235">
        <f t="shared" si="6"/>
        <v>6.3567309869963479E-2</v>
      </c>
      <c r="N21" s="235">
        <f t="shared" si="5"/>
        <v>5.0234698351279208E-2</v>
      </c>
      <c r="O21" s="235">
        <f t="shared" si="1"/>
        <v>-1.5189999999996084E-4</v>
      </c>
    </row>
    <row r="22" spans="1:17" x14ac:dyDescent="0.3">
      <c r="A22" s="162" t="s">
        <v>300</v>
      </c>
      <c r="B22" s="162"/>
      <c r="C22" s="163">
        <v>3813.52</v>
      </c>
      <c r="D22" s="163">
        <v>3861.93</v>
      </c>
      <c r="E22" s="163">
        <v>4055.93</v>
      </c>
      <c r="F22" s="163">
        <f t="shared" si="8"/>
        <v>4055.3139042329999</v>
      </c>
      <c r="G22" s="164">
        <f t="shared" si="3"/>
        <v>4055.3139042329999</v>
      </c>
      <c r="H22" s="164">
        <f t="shared" si="3"/>
        <v>4055.3139042329999</v>
      </c>
      <c r="I22" s="164">
        <f t="shared" si="3"/>
        <v>4055.3139042329999</v>
      </c>
      <c r="J22" s="164">
        <f t="shared" si="3"/>
        <v>4055.3139042329999</v>
      </c>
      <c r="K22" s="165"/>
      <c r="L22" s="239">
        <f t="shared" si="4"/>
        <v>1.2694308670204917E-2</v>
      </c>
      <c r="M22" s="235">
        <f t="shared" si="6"/>
        <v>6.3565944324403656E-2</v>
      </c>
      <c r="N22" s="235">
        <f t="shared" si="5"/>
        <v>5.0233950382321792E-2</v>
      </c>
      <c r="O22" s="235">
        <f t="shared" si="1"/>
        <v>-1.5189999999998358E-4</v>
      </c>
    </row>
    <row r="23" spans="1:17" x14ac:dyDescent="0.3">
      <c r="A23" s="162" t="s">
        <v>301</v>
      </c>
      <c r="B23" s="162"/>
      <c r="C23" s="163">
        <v>14708</v>
      </c>
      <c r="D23" s="163">
        <v>14894.72</v>
      </c>
      <c r="E23" s="163">
        <v>15642.94</v>
      </c>
      <c r="F23" s="163">
        <f t="shared" si="8"/>
        <v>15640.563837414002</v>
      </c>
      <c r="G23" s="164">
        <f t="shared" si="3"/>
        <v>15640.563837414002</v>
      </c>
      <c r="H23" s="164">
        <f t="shared" si="3"/>
        <v>15640.563837414002</v>
      </c>
      <c r="I23" s="164">
        <f t="shared" si="3"/>
        <v>15640.563837414002</v>
      </c>
      <c r="J23" s="164">
        <f t="shared" si="3"/>
        <v>15640.563837414002</v>
      </c>
      <c r="K23" s="165"/>
      <c r="L23" s="239">
        <f t="shared" si="4"/>
        <v>1.2695131901006211E-2</v>
      </c>
      <c r="M23" s="235">
        <f t="shared" si="6"/>
        <v>6.3566766385640502E-2</v>
      </c>
      <c r="N23" s="235">
        <f t="shared" si="5"/>
        <v>5.0233908391698612E-2</v>
      </c>
      <c r="O23" s="235">
        <f t="shared" si="1"/>
        <v>-1.5189999999992501E-4</v>
      </c>
    </row>
    <row r="24" spans="1:17" x14ac:dyDescent="0.3">
      <c r="A24" s="162" t="s">
        <v>302</v>
      </c>
      <c r="B24" s="162"/>
      <c r="C24" s="163">
        <v>1846</v>
      </c>
      <c r="D24" s="163">
        <v>1869.43</v>
      </c>
      <c r="E24" s="163">
        <v>1963.34</v>
      </c>
      <c r="F24" s="163">
        <f t="shared" si="8"/>
        <v>1963.041768654</v>
      </c>
      <c r="G24" s="164">
        <f t="shared" si="3"/>
        <v>1963.041768654</v>
      </c>
      <c r="H24" s="164">
        <f t="shared" si="3"/>
        <v>1963.041768654</v>
      </c>
      <c r="I24" s="164">
        <f t="shared" si="3"/>
        <v>1963.041768654</v>
      </c>
      <c r="J24" s="164">
        <f t="shared" si="3"/>
        <v>1963.041768654</v>
      </c>
      <c r="K24" s="165"/>
      <c r="L24" s="239">
        <f t="shared" si="4"/>
        <v>1.2692307692307727E-2</v>
      </c>
      <c r="M24" s="235">
        <f t="shared" si="6"/>
        <v>6.356446370530873E-2</v>
      </c>
      <c r="N24" s="235">
        <f t="shared" si="5"/>
        <v>5.0234563476567642E-2</v>
      </c>
      <c r="O24" s="235">
        <f t="shared" si="1"/>
        <v>-1.5189999999998266E-4</v>
      </c>
    </row>
    <row r="25" spans="1:17" x14ac:dyDescent="0.3">
      <c r="A25" s="162" t="s">
        <v>303</v>
      </c>
      <c r="B25" s="162"/>
      <c r="C25" s="163">
        <v>1116</v>
      </c>
      <c r="D25" s="163">
        <v>1130.17</v>
      </c>
      <c r="E25" s="163">
        <v>1186.94</v>
      </c>
      <c r="F25" s="163">
        <f t="shared" si="8"/>
        <v>1186.759703814</v>
      </c>
      <c r="G25" s="164">
        <f t="shared" ref="G25:J27" si="9">F25</f>
        <v>1186.759703814</v>
      </c>
      <c r="H25" s="164">
        <f t="shared" si="9"/>
        <v>1186.759703814</v>
      </c>
      <c r="I25" s="164">
        <f t="shared" si="9"/>
        <v>1186.759703814</v>
      </c>
      <c r="J25" s="164">
        <f t="shared" si="9"/>
        <v>1186.759703814</v>
      </c>
      <c r="K25" s="165"/>
      <c r="L25" s="239">
        <f t="shared" si="4"/>
        <v>1.2697132616487521E-2</v>
      </c>
      <c r="M25" s="235">
        <f t="shared" si="6"/>
        <v>6.3566308243727651E-2</v>
      </c>
      <c r="N25" s="235">
        <f t="shared" si="5"/>
        <v>5.0231381119654549E-2</v>
      </c>
      <c r="O25" s="235">
        <f t="shared" si="1"/>
        <v>-1.5190000000006555E-4</v>
      </c>
    </row>
    <row r="26" spans="1:17" x14ac:dyDescent="0.3">
      <c r="A26" s="162" t="s">
        <v>304</v>
      </c>
      <c r="B26" s="162"/>
      <c r="C26" s="163">
        <v>2850.71</v>
      </c>
      <c r="D26" s="163">
        <v>2886.9</v>
      </c>
      <c r="E26" s="163">
        <v>3031.92</v>
      </c>
      <c r="F26" s="163">
        <f t="shared" si="8"/>
        <v>3031.4594513520001</v>
      </c>
      <c r="G26" s="164">
        <f t="shared" si="9"/>
        <v>3031.4594513520001</v>
      </c>
      <c r="H26" s="164">
        <f t="shared" si="9"/>
        <v>3031.4594513520001</v>
      </c>
      <c r="I26" s="164">
        <f t="shared" si="9"/>
        <v>3031.4594513520001</v>
      </c>
      <c r="J26" s="164">
        <f t="shared" si="9"/>
        <v>3031.4594513520001</v>
      </c>
      <c r="K26" s="165"/>
      <c r="L26" s="239">
        <f t="shared" si="4"/>
        <v>1.2695082979327976E-2</v>
      </c>
      <c r="M26" s="235">
        <f t="shared" si="6"/>
        <v>6.3566620245482722E-2</v>
      </c>
      <c r="N26" s="235">
        <f t="shared" si="5"/>
        <v>5.0233814818663611E-2</v>
      </c>
      <c r="O26" s="235">
        <f t="shared" si="1"/>
        <v>-1.5189999999999518E-4</v>
      </c>
    </row>
    <row r="27" spans="1:17" x14ac:dyDescent="0.3">
      <c r="A27" s="162" t="s">
        <v>305</v>
      </c>
      <c r="B27" s="162"/>
      <c r="C27" s="163">
        <v>3840</v>
      </c>
      <c r="D27" s="163">
        <v>3888.75</v>
      </c>
      <c r="E27" s="163">
        <v>4084.1</v>
      </c>
      <c r="F27" s="163">
        <f t="shared" si="8"/>
        <v>4083.47962521</v>
      </c>
      <c r="G27" s="164">
        <f t="shared" si="9"/>
        <v>4083.47962521</v>
      </c>
      <c r="H27" s="164">
        <f t="shared" si="9"/>
        <v>4083.47962521</v>
      </c>
      <c r="I27" s="164">
        <f t="shared" si="9"/>
        <v>4083.47962521</v>
      </c>
      <c r="J27" s="164">
        <f t="shared" si="9"/>
        <v>4083.47962521</v>
      </c>
      <c r="K27" s="165"/>
      <c r="L27" s="239">
        <f t="shared" si="4"/>
        <v>1.26953125E-2</v>
      </c>
      <c r="M27" s="235">
        <f t="shared" si="6"/>
        <v>6.3567708333333306E-2</v>
      </c>
      <c r="N27" s="235">
        <f t="shared" si="5"/>
        <v>5.0234651237544177E-2</v>
      </c>
      <c r="O27" s="235">
        <f t="shared" si="1"/>
        <v>-1.5189999999997903E-4</v>
      </c>
    </row>
    <row r="28" spans="1:17" x14ac:dyDescent="0.3">
      <c r="A28" s="162" t="s">
        <v>306</v>
      </c>
      <c r="B28" s="162"/>
      <c r="C28" s="163"/>
      <c r="D28" s="163">
        <v>0</v>
      </c>
      <c r="E28" s="163">
        <v>0</v>
      </c>
      <c r="F28" s="163">
        <f t="shared" si="8"/>
        <v>0</v>
      </c>
      <c r="G28" s="164">
        <f t="shared" ref="G28" si="10">F28</f>
        <v>0</v>
      </c>
      <c r="H28" s="164">
        <f t="shared" ref="H28" si="11">G28</f>
        <v>0</v>
      </c>
      <c r="I28" s="164">
        <f t="shared" ref="I28" si="12">H28</f>
        <v>0</v>
      </c>
      <c r="J28" s="164">
        <f t="shared" ref="J28" si="13">I28</f>
        <v>0</v>
      </c>
      <c r="K28" s="165"/>
      <c r="L28" s="235">
        <v>0</v>
      </c>
      <c r="M28" s="235">
        <v>0</v>
      </c>
      <c r="N28" s="235">
        <v>0</v>
      </c>
      <c r="O28" s="235">
        <v>0</v>
      </c>
    </row>
    <row r="29" spans="1:17" x14ac:dyDescent="0.3">
      <c r="A29" s="152"/>
      <c r="B29" s="152"/>
      <c r="C29" s="152"/>
      <c r="D29" s="152"/>
      <c r="E29" s="152"/>
      <c r="F29" s="152"/>
      <c r="G29" s="152"/>
      <c r="H29" s="152"/>
      <c r="I29" s="152"/>
      <c r="J29" s="152"/>
      <c r="K29" s="165"/>
      <c r="L29" s="236"/>
      <c r="M29" s="237"/>
      <c r="N29" s="237"/>
      <c r="O29" s="238"/>
    </row>
    <row r="30" spans="1:17" s="3" customFormat="1" ht="14.4" x14ac:dyDescent="0.3">
      <c r="A30" s="158" t="s">
        <v>307</v>
      </c>
      <c r="B30" s="158"/>
      <c r="C30" s="159" t="str">
        <f>C2</f>
        <v>2023 (ex. prsbijst.)</v>
      </c>
      <c r="D30" s="262">
        <v>2023</v>
      </c>
      <c r="E30" s="263"/>
      <c r="F30" s="159">
        <f>F2</f>
        <v>2024</v>
      </c>
      <c r="G30" s="159">
        <f>G2</f>
        <v>2025</v>
      </c>
      <c r="H30" s="159">
        <f>H2</f>
        <v>2026</v>
      </c>
      <c r="I30" s="159">
        <f>I2</f>
        <v>2027</v>
      </c>
      <c r="J30" s="159">
        <f>J2</f>
        <v>2028</v>
      </c>
      <c r="K30" s="161"/>
      <c r="L30" s="234" t="str">
        <f>L7</f>
        <v>2e 22/23 - 1e 23</v>
      </c>
      <c r="M30" s="234" t="str">
        <f>M7</f>
        <v>2e 22/23 - 2e 23</v>
      </c>
      <c r="N30" s="234" t="str">
        <f>N7</f>
        <v>1e 23 - 2e 23</v>
      </c>
      <c r="O30" s="233" t="str">
        <f>O7</f>
        <v>2e 23 - 1e 24</v>
      </c>
      <c r="P30" s="247"/>
      <c r="Q30" s="247"/>
    </row>
    <row r="31" spans="1:17" x14ac:dyDescent="0.3">
      <c r="A31" s="162" t="s">
        <v>308</v>
      </c>
      <c r="B31" s="162"/>
      <c r="C31" s="163">
        <v>6601.21</v>
      </c>
      <c r="D31" s="163">
        <v>6685.01</v>
      </c>
      <c r="E31" s="163">
        <v>7020.57</v>
      </c>
      <c r="F31" s="163">
        <f t="shared" ref="F31:F36" si="14">E31*(1+F$5)</f>
        <v>7019.5035754169994</v>
      </c>
      <c r="G31" s="164">
        <f t="shared" ref="G31:J36" si="15">F31</f>
        <v>7019.5035754169994</v>
      </c>
      <c r="H31" s="164">
        <f t="shared" si="15"/>
        <v>7019.5035754169994</v>
      </c>
      <c r="I31" s="164">
        <f t="shared" si="15"/>
        <v>7019.5035754169994</v>
      </c>
      <c r="J31" s="164">
        <f t="shared" si="15"/>
        <v>7019.5035754169994</v>
      </c>
      <c r="K31" s="152"/>
      <c r="L31" s="235">
        <f t="shared" ref="L31:L38" si="16">(D31-C31)/C31</f>
        <v>1.269464234587298E-2</v>
      </c>
      <c r="M31" s="235">
        <f t="shared" ref="M31:M38" si="17">(E31-C31)/C31</f>
        <v>6.3527747185743166E-2</v>
      </c>
      <c r="N31" s="235">
        <f>(E31-D31)/D31</f>
        <v>5.0195886019616949E-2</v>
      </c>
      <c r="O31" s="235">
        <f t="shared" ref="N31:O38" si="18">(F31-E31)/E31</f>
        <v>-1.5190000000004251E-4</v>
      </c>
    </row>
    <row r="32" spans="1:17" x14ac:dyDescent="0.3">
      <c r="A32" s="162" t="s">
        <v>287</v>
      </c>
      <c r="B32" s="162"/>
      <c r="C32" s="163">
        <v>79691.98</v>
      </c>
      <c r="D32" s="163">
        <v>80633.58</v>
      </c>
      <c r="E32" s="163">
        <v>84738.12</v>
      </c>
      <c r="F32" s="163">
        <f t="shared" si="14"/>
        <v>84725.248279571999</v>
      </c>
      <c r="G32" s="164">
        <f t="shared" si="15"/>
        <v>84725.248279571999</v>
      </c>
      <c r="H32" s="164">
        <f t="shared" si="15"/>
        <v>84725.248279571999</v>
      </c>
      <c r="I32" s="164">
        <f t="shared" si="15"/>
        <v>84725.248279571999</v>
      </c>
      <c r="J32" s="164">
        <f t="shared" si="15"/>
        <v>84725.248279571999</v>
      </c>
      <c r="K32" s="152"/>
      <c r="L32" s="235">
        <f t="shared" si="16"/>
        <v>1.1815492600384704E-2</v>
      </c>
      <c r="M32" s="235">
        <f t="shared" si="17"/>
        <v>6.3320549947435106E-2</v>
      </c>
      <c r="N32" s="235">
        <f t="shared" si="18"/>
        <v>5.0903606165074076E-2</v>
      </c>
      <c r="O32" s="235">
        <f t="shared" si="18"/>
        <v>-1.5189999999995845E-4</v>
      </c>
    </row>
    <row r="33" spans="1:17" x14ac:dyDescent="0.3">
      <c r="A33" s="162" t="s">
        <v>288</v>
      </c>
      <c r="B33" s="162"/>
      <c r="C33" s="163">
        <v>99156.95</v>
      </c>
      <c r="D33" s="163">
        <v>100345.66</v>
      </c>
      <c r="E33" s="163">
        <v>105440.42</v>
      </c>
      <c r="F33" s="163">
        <f t="shared" si="14"/>
        <v>105424.403600202</v>
      </c>
      <c r="G33" s="164">
        <f t="shared" si="15"/>
        <v>105424.403600202</v>
      </c>
      <c r="H33" s="164">
        <f t="shared" si="15"/>
        <v>105424.403600202</v>
      </c>
      <c r="I33" s="164">
        <f t="shared" si="15"/>
        <v>105424.403600202</v>
      </c>
      <c r="J33" s="164">
        <f t="shared" si="15"/>
        <v>105424.403600202</v>
      </c>
      <c r="K33" s="152"/>
      <c r="L33" s="235">
        <f t="shared" si="16"/>
        <v>1.1988166235448008E-2</v>
      </c>
      <c r="M33" s="235">
        <f t="shared" si="17"/>
        <v>6.3368931779365964E-2</v>
      </c>
      <c r="N33" s="235">
        <f t="shared" si="18"/>
        <v>5.0772101155147062E-2</v>
      </c>
      <c r="O33" s="235">
        <f t="shared" si="18"/>
        <v>-1.5189999999998122E-4</v>
      </c>
    </row>
    <row r="34" spans="1:17" x14ac:dyDescent="0.3">
      <c r="A34" s="162" t="s">
        <v>309</v>
      </c>
      <c r="B34" s="162"/>
      <c r="C34" s="163">
        <v>20366.77</v>
      </c>
      <c r="D34" s="163">
        <v>20625.330000000002</v>
      </c>
      <c r="E34" s="163">
        <v>21661.42</v>
      </c>
      <c r="F34" s="163">
        <f t="shared" si="14"/>
        <v>21658.129630301999</v>
      </c>
      <c r="G34" s="164">
        <f t="shared" si="15"/>
        <v>21658.129630301999</v>
      </c>
      <c r="H34" s="164">
        <f t="shared" si="15"/>
        <v>21658.129630301999</v>
      </c>
      <c r="I34" s="164">
        <f t="shared" si="15"/>
        <v>21658.129630301999</v>
      </c>
      <c r="J34" s="164">
        <f t="shared" si="15"/>
        <v>21658.129630301999</v>
      </c>
      <c r="K34" s="152"/>
      <c r="L34" s="235">
        <f t="shared" si="16"/>
        <v>1.2695189271543858E-2</v>
      </c>
      <c r="M34" s="235">
        <f t="shared" si="17"/>
        <v>6.3566780594075431E-2</v>
      </c>
      <c r="N34" s="235">
        <f t="shared" si="18"/>
        <v>5.0233862924859693E-2</v>
      </c>
      <c r="O34" s="235">
        <f t="shared" si="18"/>
        <v>-1.5189999999996618E-4</v>
      </c>
    </row>
    <row r="35" spans="1:17" x14ac:dyDescent="0.3">
      <c r="A35" s="152" t="s">
        <v>310</v>
      </c>
      <c r="B35" s="152"/>
      <c r="C35" s="163">
        <v>3293.04</v>
      </c>
      <c r="D35" s="163">
        <v>3334.85</v>
      </c>
      <c r="E35" s="163">
        <v>3502.37</v>
      </c>
      <c r="F35" s="163">
        <f t="shared" si="14"/>
        <v>3501.837989997</v>
      </c>
      <c r="G35" s="164">
        <f t="shared" si="15"/>
        <v>3501.837989997</v>
      </c>
      <c r="H35" s="164">
        <f t="shared" si="15"/>
        <v>3501.837989997</v>
      </c>
      <c r="I35" s="164">
        <f t="shared" si="15"/>
        <v>3501.837989997</v>
      </c>
      <c r="J35" s="164">
        <f t="shared" si="15"/>
        <v>3501.837989997</v>
      </c>
      <c r="K35" s="152"/>
      <c r="L35" s="235">
        <f t="shared" si="16"/>
        <v>1.2696474989675178E-2</v>
      </c>
      <c r="M35" s="235">
        <f t="shared" si="17"/>
        <v>6.3567402764618683E-2</v>
      </c>
      <c r="N35" s="235">
        <f t="shared" si="18"/>
        <v>5.0233143919516617E-2</v>
      </c>
      <c r="O35" s="235">
        <f t="shared" si="18"/>
        <v>-1.5189999999996244E-4</v>
      </c>
    </row>
    <row r="36" spans="1:17" x14ac:dyDescent="0.3">
      <c r="A36" s="152" t="s">
        <v>311</v>
      </c>
      <c r="B36" s="152"/>
      <c r="C36" s="163">
        <v>6238.94</v>
      </c>
      <c r="D36" s="217">
        <v>6318.14</v>
      </c>
      <c r="E36" s="217">
        <v>6635.53</v>
      </c>
      <c r="F36" s="163">
        <f t="shared" si="14"/>
        <v>6634.522062993</v>
      </c>
      <c r="G36" s="218">
        <f t="shared" si="15"/>
        <v>6634.522062993</v>
      </c>
      <c r="H36" s="218">
        <f t="shared" si="15"/>
        <v>6634.522062993</v>
      </c>
      <c r="I36" s="218">
        <f t="shared" si="15"/>
        <v>6634.522062993</v>
      </c>
      <c r="J36" s="218">
        <f t="shared" si="15"/>
        <v>6634.522062993</v>
      </c>
      <c r="K36" s="152"/>
      <c r="L36" s="235">
        <f t="shared" si="16"/>
        <v>1.2694464123713441E-2</v>
      </c>
      <c r="M36" s="235">
        <f t="shared" si="17"/>
        <v>6.3566887964942795E-2</v>
      </c>
      <c r="N36" s="235">
        <f t="shared" si="18"/>
        <v>5.0234720978009254E-2</v>
      </c>
      <c r="O36" s="235">
        <f t="shared" si="18"/>
        <v>-1.5189999999996718E-4</v>
      </c>
    </row>
    <row r="37" spans="1:17" x14ac:dyDescent="0.3">
      <c r="A37" s="152" t="s">
        <v>312</v>
      </c>
      <c r="B37" s="152"/>
      <c r="C37" s="219">
        <v>3813.52</v>
      </c>
      <c r="D37" s="219">
        <f t="shared" ref="D37:J38" si="19">D22</f>
        <v>3861.93</v>
      </c>
      <c r="E37" s="219">
        <f t="shared" si="19"/>
        <v>4055.93</v>
      </c>
      <c r="F37" s="219">
        <f t="shared" si="19"/>
        <v>4055.3139042329999</v>
      </c>
      <c r="G37" s="219">
        <f t="shared" si="19"/>
        <v>4055.3139042329999</v>
      </c>
      <c r="H37" s="219">
        <f t="shared" si="19"/>
        <v>4055.3139042329999</v>
      </c>
      <c r="I37" s="219">
        <f t="shared" si="19"/>
        <v>4055.3139042329999</v>
      </c>
      <c r="J37" s="219">
        <f t="shared" si="19"/>
        <v>4055.3139042329999</v>
      </c>
      <c r="K37" s="152"/>
      <c r="L37" s="235">
        <f t="shared" si="16"/>
        <v>1.2694308670204917E-2</v>
      </c>
      <c r="M37" s="235">
        <f t="shared" si="17"/>
        <v>6.3565944324403656E-2</v>
      </c>
      <c r="N37" s="235">
        <f t="shared" si="18"/>
        <v>5.0233950382321792E-2</v>
      </c>
      <c r="O37" s="235">
        <f t="shared" si="18"/>
        <v>-1.5189999999998358E-4</v>
      </c>
    </row>
    <row r="38" spans="1:17" x14ac:dyDescent="0.3">
      <c r="A38" s="162" t="s">
        <v>301</v>
      </c>
      <c r="B38" s="162"/>
      <c r="C38" s="219">
        <v>14708</v>
      </c>
      <c r="D38" s="219">
        <f t="shared" si="19"/>
        <v>14894.72</v>
      </c>
      <c r="E38" s="219">
        <f t="shared" si="19"/>
        <v>15642.94</v>
      </c>
      <c r="F38" s="219">
        <f t="shared" si="19"/>
        <v>15640.563837414002</v>
      </c>
      <c r="G38" s="219">
        <f t="shared" si="19"/>
        <v>15640.563837414002</v>
      </c>
      <c r="H38" s="219">
        <f t="shared" si="19"/>
        <v>15640.563837414002</v>
      </c>
      <c r="I38" s="219">
        <f t="shared" si="19"/>
        <v>15640.563837414002</v>
      </c>
      <c r="J38" s="219">
        <f t="shared" si="19"/>
        <v>15640.563837414002</v>
      </c>
      <c r="K38" s="152"/>
      <c r="L38" s="235">
        <f t="shared" si="16"/>
        <v>1.2695131901006211E-2</v>
      </c>
      <c r="M38" s="235">
        <f t="shared" si="17"/>
        <v>6.3566766385640502E-2</v>
      </c>
      <c r="N38" s="235">
        <f t="shared" si="18"/>
        <v>5.0233908391698612E-2</v>
      </c>
      <c r="O38" s="235">
        <f t="shared" si="18"/>
        <v>-1.5189999999992501E-4</v>
      </c>
    </row>
    <row r="39" spans="1:17" x14ac:dyDescent="0.3">
      <c r="A39" s="152"/>
      <c r="B39" s="152"/>
      <c r="C39" s="152"/>
      <c r="D39" s="152"/>
      <c r="E39" s="152"/>
      <c r="F39" s="152"/>
      <c r="G39" s="152"/>
      <c r="H39" s="152"/>
      <c r="I39" s="152"/>
      <c r="J39" s="152"/>
      <c r="K39" s="152"/>
      <c r="L39" s="229"/>
      <c r="M39" s="237"/>
      <c r="N39" s="237"/>
      <c r="O39" s="238"/>
    </row>
    <row r="40" spans="1:17" s="3" customFormat="1" ht="14.4" x14ac:dyDescent="0.3">
      <c r="A40" s="158" t="s">
        <v>313</v>
      </c>
      <c r="B40" s="158"/>
      <c r="C40" s="159" t="str">
        <f>C2</f>
        <v>2023 (ex. prsbijst.)</v>
      </c>
      <c r="D40" s="262">
        <v>2023</v>
      </c>
      <c r="E40" s="263"/>
      <c r="F40" s="159">
        <f>F2</f>
        <v>2024</v>
      </c>
      <c r="G40" s="159">
        <f>G2</f>
        <v>2025</v>
      </c>
      <c r="H40" s="159">
        <f>H2</f>
        <v>2026</v>
      </c>
      <c r="I40" s="159">
        <f>I2</f>
        <v>2027</v>
      </c>
      <c r="J40" s="159">
        <f>J2</f>
        <v>2028</v>
      </c>
      <c r="K40" s="161"/>
      <c r="L40" s="234" t="str">
        <f>L7</f>
        <v>2e 22/23 - 1e 23</v>
      </c>
      <c r="M40" s="234" t="str">
        <f>M7</f>
        <v>2e 22/23 - 2e 23</v>
      </c>
      <c r="N40" s="234" t="str">
        <f>N7</f>
        <v>1e 23 - 2e 23</v>
      </c>
      <c r="O40" s="233" t="str">
        <f>O7</f>
        <v>2e 23 - 1e 24</v>
      </c>
      <c r="P40" s="247"/>
      <c r="Q40" s="247"/>
    </row>
    <row r="41" spans="1:17" x14ac:dyDescent="0.3">
      <c r="A41" s="162" t="s">
        <v>314</v>
      </c>
      <c r="B41" s="162"/>
      <c r="C41" s="163">
        <v>6706.18</v>
      </c>
      <c r="D41" s="163">
        <v>6791.31</v>
      </c>
      <c r="E41" s="163">
        <v>7132.13</v>
      </c>
      <c r="F41" s="163">
        <f t="shared" ref="F41:F63" si="20">E41*(1+F$5)</f>
        <v>7131.0466294530006</v>
      </c>
      <c r="G41" s="164">
        <f t="shared" ref="G41:J56" si="21">F41</f>
        <v>7131.0466294530006</v>
      </c>
      <c r="H41" s="164">
        <f t="shared" si="21"/>
        <v>7131.0466294530006</v>
      </c>
      <c r="I41" s="164">
        <f t="shared" si="21"/>
        <v>7131.0466294530006</v>
      </c>
      <c r="J41" s="164">
        <f t="shared" si="21"/>
        <v>7131.0466294530006</v>
      </c>
      <c r="K41" s="152"/>
      <c r="L41" s="235">
        <f t="shared" ref="L41:L63" si="22">(D41-C41)/C41</f>
        <v>1.2694261114375115E-2</v>
      </c>
      <c r="M41" s="235">
        <f t="shared" ref="M41:M63" si="23">(E41-C41)/C41</f>
        <v>6.3516040428380952E-2</v>
      </c>
      <c r="N41" s="235">
        <f t="shared" ref="N41:N63" si="24">(E41-D41)/D41</f>
        <v>5.0184721357146071E-2</v>
      </c>
      <c r="O41" s="235">
        <f t="shared" ref="O41:O63" si="25">(F41-E41)/E41</f>
        <v>-1.5189999999993043E-4</v>
      </c>
    </row>
    <row r="42" spans="1:17" x14ac:dyDescent="0.3">
      <c r="A42" s="162" t="s">
        <v>315</v>
      </c>
      <c r="B42" s="162"/>
      <c r="C42" s="163">
        <v>10162.52</v>
      </c>
      <c r="D42" s="163">
        <v>10291.530000000001</v>
      </c>
      <c r="E42" s="163">
        <v>10808.18</v>
      </c>
      <c r="F42" s="163">
        <f t="shared" si="20"/>
        <v>10806.538237458</v>
      </c>
      <c r="G42" s="164">
        <f t="shared" si="21"/>
        <v>10806.538237458</v>
      </c>
      <c r="H42" s="164">
        <f t="shared" si="21"/>
        <v>10806.538237458</v>
      </c>
      <c r="I42" s="164">
        <f t="shared" si="21"/>
        <v>10806.538237458</v>
      </c>
      <c r="J42" s="164">
        <f t="shared" si="21"/>
        <v>10806.538237458</v>
      </c>
      <c r="K42" s="152"/>
      <c r="L42" s="235">
        <f t="shared" si="22"/>
        <v>1.2694685963717681E-2</v>
      </c>
      <c r="M42" s="235">
        <f t="shared" si="23"/>
        <v>6.3533454300704922E-2</v>
      </c>
      <c r="N42" s="235">
        <f t="shared" si="24"/>
        <v>5.0201476359686033E-2</v>
      </c>
      <c r="O42" s="235">
        <f t="shared" si="25"/>
        <v>-1.5189999999999296E-4</v>
      </c>
    </row>
    <row r="43" spans="1:17" x14ac:dyDescent="0.3">
      <c r="A43" s="162" t="s">
        <v>316</v>
      </c>
      <c r="B43" s="162"/>
      <c r="C43" s="163">
        <v>124967.46</v>
      </c>
      <c r="D43" s="163">
        <v>126340.85</v>
      </c>
      <c r="E43" s="163">
        <v>132783.66</v>
      </c>
      <c r="F43" s="163">
        <f t="shared" si="20"/>
        <v>132763.49016204602</v>
      </c>
      <c r="G43" s="164">
        <f t="shared" si="21"/>
        <v>132763.49016204602</v>
      </c>
      <c r="H43" s="164">
        <f t="shared" si="21"/>
        <v>132763.49016204602</v>
      </c>
      <c r="I43" s="164">
        <f t="shared" si="21"/>
        <v>132763.49016204602</v>
      </c>
      <c r="J43" s="164">
        <f t="shared" si="21"/>
        <v>132763.49016204602</v>
      </c>
      <c r="K43" s="152"/>
      <c r="L43" s="235">
        <f>(D43-C43)/C43</f>
        <v>1.0989980911830963E-2</v>
      </c>
      <c r="M43" s="235">
        <f t="shared" si="23"/>
        <v>6.2545881943987636E-2</v>
      </c>
      <c r="N43" s="235">
        <f t="shared" si="24"/>
        <v>5.0995461879510845E-2</v>
      </c>
      <c r="O43" s="235">
        <f t="shared" si="25"/>
        <v>-1.5189999999991311E-4</v>
      </c>
    </row>
    <row r="44" spans="1:17" x14ac:dyDescent="0.3">
      <c r="A44" s="162" t="s">
        <v>317</v>
      </c>
      <c r="B44" s="162"/>
      <c r="C44" s="163">
        <v>144461.01999999999</v>
      </c>
      <c r="D44" s="163">
        <v>146081.88</v>
      </c>
      <c r="E44" s="163">
        <v>153516.37</v>
      </c>
      <c r="F44" s="163">
        <f t="shared" si="20"/>
        <v>153493.05086339699</v>
      </c>
      <c r="G44" s="164">
        <f t="shared" si="21"/>
        <v>153493.05086339699</v>
      </c>
      <c r="H44" s="164">
        <f t="shared" si="21"/>
        <v>153493.05086339699</v>
      </c>
      <c r="I44" s="164">
        <f t="shared" si="21"/>
        <v>153493.05086339699</v>
      </c>
      <c r="J44" s="164">
        <f t="shared" si="21"/>
        <v>153493.05086339699</v>
      </c>
      <c r="K44" s="152"/>
      <c r="L44" s="235">
        <f t="shared" si="22"/>
        <v>1.1220050917541738E-2</v>
      </c>
      <c r="M44" s="235">
        <f t="shared" si="23"/>
        <v>6.2683691420703014E-2</v>
      </c>
      <c r="N44" s="235">
        <f t="shared" si="24"/>
        <v>5.0892622685304915E-2</v>
      </c>
      <c r="O44" s="235">
        <f t="shared" si="25"/>
        <v>-1.5190000000005075E-4</v>
      </c>
    </row>
    <row r="45" spans="1:17" x14ac:dyDescent="0.3">
      <c r="A45" s="162" t="s">
        <v>318</v>
      </c>
      <c r="B45" s="162"/>
      <c r="C45" s="163">
        <v>128442.21</v>
      </c>
      <c r="D45" s="163">
        <v>129859.71</v>
      </c>
      <c r="E45" s="163">
        <v>136479.29</v>
      </c>
      <c r="F45" s="163">
        <f t="shared" si="20"/>
        <v>136458.55879584901</v>
      </c>
      <c r="G45" s="164">
        <f t="shared" si="21"/>
        <v>136458.55879584901</v>
      </c>
      <c r="H45" s="164">
        <f t="shared" si="21"/>
        <v>136458.55879584901</v>
      </c>
      <c r="I45" s="164">
        <f t="shared" si="21"/>
        <v>136458.55879584901</v>
      </c>
      <c r="J45" s="164">
        <f t="shared" si="21"/>
        <v>136458.55879584901</v>
      </c>
      <c r="K45" s="152"/>
      <c r="L45" s="235">
        <f t="shared" si="22"/>
        <v>1.1036091639967889E-2</v>
      </c>
      <c r="M45" s="235">
        <f t="shared" si="23"/>
        <v>6.2573510686245601E-2</v>
      </c>
      <c r="N45" s="235">
        <f t="shared" si="24"/>
        <v>5.097485586561068E-2</v>
      </c>
      <c r="O45" s="235">
        <f t="shared" si="25"/>
        <v>-1.5190000000000947E-4</v>
      </c>
    </row>
    <row r="46" spans="1:17" x14ac:dyDescent="0.3">
      <c r="A46" s="162" t="s">
        <v>319</v>
      </c>
      <c r="B46" s="162"/>
      <c r="C46" s="163">
        <v>147935.76999999999</v>
      </c>
      <c r="D46" s="163">
        <v>149600.74</v>
      </c>
      <c r="E46" s="163">
        <v>157212</v>
      </c>
      <c r="F46" s="163">
        <f t="shared" si="20"/>
        <v>157188.11949720001</v>
      </c>
      <c r="G46" s="164">
        <f t="shared" si="21"/>
        <v>157188.11949720001</v>
      </c>
      <c r="H46" s="164">
        <f t="shared" si="21"/>
        <v>157188.11949720001</v>
      </c>
      <c r="I46" s="164">
        <f t="shared" si="21"/>
        <v>157188.11949720001</v>
      </c>
      <c r="J46" s="164">
        <f t="shared" si="21"/>
        <v>157188.11949720001</v>
      </c>
      <c r="K46" s="152"/>
      <c r="L46" s="235">
        <f t="shared" si="22"/>
        <v>1.1254681677054856E-2</v>
      </c>
      <c r="M46" s="235">
        <f t="shared" si="23"/>
        <v>6.2704442610465413E-2</v>
      </c>
      <c r="N46" s="235">
        <f t="shared" si="24"/>
        <v>5.0877154752042068E-2</v>
      </c>
      <c r="O46" s="235">
        <f t="shared" si="25"/>
        <v>-1.5189999999994604E-4</v>
      </c>
    </row>
    <row r="47" spans="1:17" x14ac:dyDescent="0.3">
      <c r="A47" s="162" t="s">
        <v>320</v>
      </c>
      <c r="B47" s="162"/>
      <c r="C47" s="163">
        <v>6913.35</v>
      </c>
      <c r="D47" s="163">
        <v>7001.11</v>
      </c>
      <c r="E47" s="163">
        <v>7352.81</v>
      </c>
      <c r="F47" s="163">
        <f t="shared" si="20"/>
        <v>7351.693108161001</v>
      </c>
      <c r="G47" s="164">
        <f t="shared" si="21"/>
        <v>7351.693108161001</v>
      </c>
      <c r="H47" s="164">
        <f t="shared" si="21"/>
        <v>7351.693108161001</v>
      </c>
      <c r="I47" s="164">
        <f t="shared" si="21"/>
        <v>7351.693108161001</v>
      </c>
      <c r="J47" s="164">
        <f t="shared" si="21"/>
        <v>7351.693108161001</v>
      </c>
      <c r="K47" s="152"/>
      <c r="L47" s="235">
        <f t="shared" si="22"/>
        <v>1.2694279907714682E-2</v>
      </c>
      <c r="M47" s="235">
        <f t="shared" si="23"/>
        <v>6.3566867003695751E-2</v>
      </c>
      <c r="N47" s="235">
        <f t="shared" si="24"/>
        <v>5.0234891324375815E-2</v>
      </c>
      <c r="O47" s="235">
        <f t="shared" si="25"/>
        <v>-1.518999999999233E-4</v>
      </c>
    </row>
    <row r="48" spans="1:17" x14ac:dyDescent="0.3">
      <c r="A48" s="162" t="s">
        <v>321</v>
      </c>
      <c r="B48" s="162"/>
      <c r="C48" s="163">
        <v>10736.96</v>
      </c>
      <c r="D48" s="163">
        <v>10873.27</v>
      </c>
      <c r="E48" s="163">
        <v>11419.48</v>
      </c>
      <c r="F48" s="163">
        <f t="shared" si="20"/>
        <v>11417.745380987999</v>
      </c>
      <c r="G48" s="164">
        <f t="shared" si="21"/>
        <v>11417.745380987999</v>
      </c>
      <c r="H48" s="164">
        <f t="shared" si="21"/>
        <v>11417.745380987999</v>
      </c>
      <c r="I48" s="164">
        <f t="shared" si="21"/>
        <v>11417.745380987999</v>
      </c>
      <c r="J48" s="164">
        <f t="shared" si="21"/>
        <v>11417.745380987999</v>
      </c>
      <c r="K48" s="152"/>
      <c r="L48" s="235">
        <f t="shared" si="22"/>
        <v>1.2695399815217839E-2</v>
      </c>
      <c r="M48" s="235">
        <f t="shared" si="23"/>
        <v>6.3567341221351339E-2</v>
      </c>
      <c r="N48" s="235">
        <f t="shared" si="24"/>
        <v>5.0234198175893648E-2</v>
      </c>
      <c r="O48" s="235">
        <f t="shared" si="25"/>
        <v>-1.5190000000005441E-4</v>
      </c>
    </row>
    <row r="49" spans="1:15" x14ac:dyDescent="0.3">
      <c r="A49" s="162" t="s">
        <v>322</v>
      </c>
      <c r="B49" s="162"/>
      <c r="C49" s="163">
        <v>312.58</v>
      </c>
      <c r="D49" s="163">
        <v>316.55</v>
      </c>
      <c r="E49" s="163">
        <v>332.45</v>
      </c>
      <c r="F49" s="163">
        <f t="shared" si="20"/>
        <v>332.39950084499998</v>
      </c>
      <c r="G49" s="164">
        <f t="shared" si="21"/>
        <v>332.39950084499998</v>
      </c>
      <c r="H49" s="164">
        <f t="shared" si="21"/>
        <v>332.39950084499998</v>
      </c>
      <c r="I49" s="164">
        <f t="shared" si="21"/>
        <v>332.39950084499998</v>
      </c>
      <c r="J49" s="164">
        <f t="shared" si="21"/>
        <v>332.39950084499998</v>
      </c>
      <c r="K49" s="152"/>
      <c r="L49" s="235">
        <f t="shared" si="22"/>
        <v>1.2700748608356349E-2</v>
      </c>
      <c r="M49" s="235">
        <f t="shared" si="23"/>
        <v>6.356772666197455E-2</v>
      </c>
      <c r="N49" s="235">
        <f t="shared" si="24"/>
        <v>5.0229031748538863E-2</v>
      </c>
      <c r="O49" s="235">
        <f t="shared" si="25"/>
        <v>-1.5190000000003413E-4</v>
      </c>
    </row>
    <row r="50" spans="1:15" x14ac:dyDescent="0.3">
      <c r="A50" s="162" t="s">
        <v>323</v>
      </c>
      <c r="B50" s="162"/>
      <c r="C50" s="163">
        <v>23215.38</v>
      </c>
      <c r="D50" s="163">
        <v>23510.1</v>
      </c>
      <c r="E50" s="163">
        <v>24691.11</v>
      </c>
      <c r="F50" s="163">
        <f t="shared" si="20"/>
        <v>24687.359420391</v>
      </c>
      <c r="G50" s="164">
        <f t="shared" si="21"/>
        <v>24687.359420391</v>
      </c>
      <c r="H50" s="164">
        <f t="shared" si="21"/>
        <v>24687.359420391</v>
      </c>
      <c r="I50" s="164">
        <f t="shared" si="21"/>
        <v>24687.359420391</v>
      </c>
      <c r="J50" s="164">
        <f t="shared" si="21"/>
        <v>24687.359420391</v>
      </c>
      <c r="K50" s="152"/>
      <c r="L50" s="235">
        <f t="shared" si="22"/>
        <v>1.2695032344936741E-2</v>
      </c>
      <c r="M50" s="235">
        <f t="shared" si="23"/>
        <v>6.3566911245906785E-2</v>
      </c>
      <c r="N50" s="235">
        <f t="shared" si="24"/>
        <v>5.0234154682455713E-2</v>
      </c>
      <c r="O50" s="235">
        <f t="shared" si="25"/>
        <v>-1.5190000000003448E-4</v>
      </c>
    </row>
    <row r="51" spans="1:15" x14ac:dyDescent="0.3">
      <c r="A51" s="162" t="s">
        <v>324</v>
      </c>
      <c r="B51" s="162"/>
      <c r="C51" s="163">
        <v>181.68</v>
      </c>
      <c r="D51" s="163">
        <v>183.99</v>
      </c>
      <c r="E51" s="163">
        <v>193.23</v>
      </c>
      <c r="F51" s="163">
        <f t="shared" si="20"/>
        <v>193.200648363</v>
      </c>
      <c r="G51" s="164">
        <f t="shared" si="21"/>
        <v>193.200648363</v>
      </c>
      <c r="H51" s="164">
        <f t="shared" si="21"/>
        <v>193.200648363</v>
      </c>
      <c r="I51" s="164">
        <f t="shared" si="21"/>
        <v>193.200648363</v>
      </c>
      <c r="J51" s="164">
        <f t="shared" si="21"/>
        <v>193.200648363</v>
      </c>
      <c r="K51" s="152"/>
      <c r="L51" s="235">
        <f t="shared" si="22"/>
        <v>1.2714663143989445E-2</v>
      </c>
      <c r="M51" s="235">
        <f t="shared" si="23"/>
        <v>6.3573315719947066E-2</v>
      </c>
      <c r="N51" s="235">
        <f t="shared" si="24"/>
        <v>5.0220120658731347E-2</v>
      </c>
      <c r="O51" s="235">
        <f t="shared" si="25"/>
        <v>-1.5189999999995168E-4</v>
      </c>
    </row>
    <row r="52" spans="1:15" x14ac:dyDescent="0.3">
      <c r="A52" s="162" t="s">
        <v>325</v>
      </c>
      <c r="B52" s="162"/>
      <c r="C52" s="163">
        <v>1125.98</v>
      </c>
      <c r="D52" s="163">
        <v>1140.27</v>
      </c>
      <c r="E52" s="163">
        <v>1197.56</v>
      </c>
      <c r="F52" s="163">
        <f t="shared" si="20"/>
        <v>1197.378090636</v>
      </c>
      <c r="G52" s="164">
        <f t="shared" si="21"/>
        <v>1197.378090636</v>
      </c>
      <c r="H52" s="164">
        <f t="shared" si="21"/>
        <v>1197.378090636</v>
      </c>
      <c r="I52" s="164">
        <f t="shared" si="21"/>
        <v>1197.378090636</v>
      </c>
      <c r="J52" s="164">
        <f t="shared" si="21"/>
        <v>1197.378090636</v>
      </c>
      <c r="K52" s="152"/>
      <c r="L52" s="235">
        <f t="shared" si="22"/>
        <v>1.2691166805804689E-2</v>
      </c>
      <c r="M52" s="235">
        <f t="shared" si="23"/>
        <v>6.3571289010461926E-2</v>
      </c>
      <c r="N52" s="235">
        <f t="shared" si="24"/>
        <v>5.0242486428652831E-2</v>
      </c>
      <c r="O52" s="235">
        <f t="shared" si="25"/>
        <v>-1.5189999999993401E-4</v>
      </c>
    </row>
    <row r="53" spans="1:15" x14ac:dyDescent="0.3">
      <c r="A53" s="162" t="s">
        <v>326</v>
      </c>
      <c r="B53" s="162"/>
      <c r="C53" s="163">
        <v>85.14</v>
      </c>
      <c r="D53" s="163">
        <v>86.22</v>
      </c>
      <c r="E53" s="163">
        <v>90.55</v>
      </c>
      <c r="F53" s="163">
        <f t="shared" si="20"/>
        <v>90.536245455</v>
      </c>
      <c r="G53" s="164">
        <f t="shared" si="21"/>
        <v>90.536245455</v>
      </c>
      <c r="H53" s="164">
        <f t="shared" si="21"/>
        <v>90.536245455</v>
      </c>
      <c r="I53" s="164">
        <f t="shared" si="21"/>
        <v>90.536245455</v>
      </c>
      <c r="J53" s="164">
        <f t="shared" si="21"/>
        <v>90.536245455</v>
      </c>
      <c r="K53" s="152"/>
      <c r="L53" s="235">
        <f t="shared" si="22"/>
        <v>1.2684989429175456E-2</v>
      </c>
      <c r="M53" s="235">
        <f t="shared" si="23"/>
        <v>6.3542400751703032E-2</v>
      </c>
      <c r="N53" s="235">
        <f t="shared" si="24"/>
        <v>5.0220366504291326E-2</v>
      </c>
      <c r="O53" s="235">
        <f t="shared" si="25"/>
        <v>-1.5189999999997371E-4</v>
      </c>
    </row>
    <row r="54" spans="1:15" x14ac:dyDescent="0.3">
      <c r="A54" s="152" t="s">
        <v>310</v>
      </c>
      <c r="B54" s="152"/>
      <c r="C54" s="163">
        <v>3293.04</v>
      </c>
      <c r="D54" s="163">
        <v>3334.85</v>
      </c>
      <c r="E54" s="163">
        <v>3502.37</v>
      </c>
      <c r="F54" s="163">
        <f t="shared" si="20"/>
        <v>3501.837989997</v>
      </c>
      <c r="G54" s="164">
        <f t="shared" si="21"/>
        <v>3501.837989997</v>
      </c>
      <c r="H54" s="164">
        <f t="shared" si="21"/>
        <v>3501.837989997</v>
      </c>
      <c r="I54" s="164">
        <f t="shared" si="21"/>
        <v>3501.837989997</v>
      </c>
      <c r="J54" s="164">
        <f t="shared" si="21"/>
        <v>3501.837989997</v>
      </c>
      <c r="K54" s="152"/>
      <c r="L54" s="235">
        <f t="shared" si="22"/>
        <v>1.2696474989675178E-2</v>
      </c>
      <c r="M54" s="235">
        <f t="shared" si="23"/>
        <v>6.3567402764618683E-2</v>
      </c>
      <c r="N54" s="235">
        <f t="shared" si="24"/>
        <v>5.0233143919516617E-2</v>
      </c>
      <c r="O54" s="235">
        <f t="shared" si="25"/>
        <v>-1.5189999999996244E-4</v>
      </c>
    </row>
    <row r="55" spans="1:15" x14ac:dyDescent="0.3">
      <c r="A55" s="152" t="s">
        <v>327</v>
      </c>
      <c r="B55" s="152"/>
      <c r="C55" s="163">
        <v>12166.9</v>
      </c>
      <c r="D55" s="163">
        <v>12321.36</v>
      </c>
      <c r="E55" s="163">
        <v>12940.31</v>
      </c>
      <c r="F55" s="163">
        <f t="shared" si="20"/>
        <v>12938.344366911</v>
      </c>
      <c r="G55" s="164">
        <f t="shared" si="21"/>
        <v>12938.344366911</v>
      </c>
      <c r="H55" s="164">
        <f t="shared" si="21"/>
        <v>12938.344366911</v>
      </c>
      <c r="I55" s="164">
        <f t="shared" si="21"/>
        <v>12938.344366911</v>
      </c>
      <c r="J55" s="164">
        <f t="shared" si="21"/>
        <v>12938.344366911</v>
      </c>
      <c r="K55" s="152"/>
      <c r="L55" s="235">
        <f t="shared" si="22"/>
        <v>1.2695098998101484E-2</v>
      </c>
      <c r="M55" s="235">
        <f t="shared" si="23"/>
        <v>6.3566726117581296E-2</v>
      </c>
      <c r="N55" s="235">
        <f t="shared" si="24"/>
        <v>5.023390275099493E-2</v>
      </c>
      <c r="O55" s="235">
        <f t="shared" si="25"/>
        <v>-1.518999999999468E-4</v>
      </c>
    </row>
    <row r="56" spans="1:15" x14ac:dyDescent="0.3">
      <c r="A56" s="152" t="s">
        <v>328</v>
      </c>
      <c r="B56" s="152"/>
      <c r="C56" s="163">
        <v>19797.93</v>
      </c>
      <c r="D56" s="163">
        <v>20049.259999999998</v>
      </c>
      <c r="E56" s="163">
        <v>21056.43</v>
      </c>
      <c r="F56" s="163">
        <f t="shared" si="20"/>
        <v>21053.231528283002</v>
      </c>
      <c r="G56" s="164">
        <f t="shared" si="21"/>
        <v>21053.231528283002</v>
      </c>
      <c r="H56" s="164">
        <f t="shared" si="21"/>
        <v>21053.231528283002</v>
      </c>
      <c r="I56" s="164">
        <f t="shared" si="21"/>
        <v>21053.231528283002</v>
      </c>
      <c r="J56" s="164">
        <f t="shared" si="21"/>
        <v>21053.231528283002</v>
      </c>
      <c r="K56" s="152"/>
      <c r="L56" s="235">
        <f t="shared" si="22"/>
        <v>1.269476152304802E-2</v>
      </c>
      <c r="M56" s="235">
        <f t="shared" si="23"/>
        <v>6.3567251727832147E-2</v>
      </c>
      <c r="N56" s="235">
        <f t="shared" si="24"/>
        <v>5.0234771757162205E-2</v>
      </c>
      <c r="O56" s="235">
        <f t="shared" si="25"/>
        <v>-1.5189999999990639E-4</v>
      </c>
    </row>
    <row r="57" spans="1:15" x14ac:dyDescent="0.3">
      <c r="A57" s="152" t="s">
        <v>329</v>
      </c>
      <c r="B57" s="152"/>
      <c r="C57" s="163">
        <v>29546.15</v>
      </c>
      <c r="D57" s="163">
        <v>29921.24</v>
      </c>
      <c r="E57" s="163">
        <v>31424.31</v>
      </c>
      <c r="F57" s="163">
        <f t="shared" si="20"/>
        <v>31419.536647311001</v>
      </c>
      <c r="G57" s="164">
        <f t="shared" ref="G57:J63" si="26">F57</f>
        <v>31419.536647311001</v>
      </c>
      <c r="H57" s="164">
        <f t="shared" si="26"/>
        <v>31419.536647311001</v>
      </c>
      <c r="I57" s="164">
        <f t="shared" si="26"/>
        <v>31419.536647311001</v>
      </c>
      <c r="J57" s="164">
        <f t="shared" si="26"/>
        <v>31419.536647311001</v>
      </c>
      <c r="K57" s="152"/>
      <c r="L57" s="235">
        <f t="shared" si="22"/>
        <v>1.2695055024089437E-2</v>
      </c>
      <c r="M57" s="235">
        <f t="shared" si="23"/>
        <v>6.3566996038400936E-2</v>
      </c>
      <c r="N57" s="235">
        <f t="shared" si="24"/>
        <v>5.0234214892163551E-2</v>
      </c>
      <c r="O57" s="235">
        <f t="shared" si="25"/>
        <v>-1.519000000000192E-4</v>
      </c>
    </row>
    <row r="58" spans="1:15" x14ac:dyDescent="0.3">
      <c r="A58" s="152" t="s">
        <v>330</v>
      </c>
      <c r="B58" s="152"/>
      <c r="C58" s="163">
        <v>12966.9</v>
      </c>
      <c r="D58" s="163">
        <v>13131.51</v>
      </c>
      <c r="E58" s="163">
        <v>13791.17</v>
      </c>
      <c r="F58" s="163">
        <f t="shared" si="20"/>
        <v>13789.075121277001</v>
      </c>
      <c r="G58" s="164">
        <f t="shared" si="26"/>
        <v>13789.075121277001</v>
      </c>
      <c r="H58" s="164">
        <f t="shared" si="26"/>
        <v>13789.075121277001</v>
      </c>
      <c r="I58" s="164">
        <f t="shared" si="26"/>
        <v>13789.075121277001</v>
      </c>
      <c r="J58" s="164">
        <f t="shared" si="26"/>
        <v>13789.075121277001</v>
      </c>
      <c r="K58" s="152"/>
      <c r="L58" s="235">
        <f t="shared" si="22"/>
        <v>1.2694630173750132E-2</v>
      </c>
      <c r="M58" s="235">
        <f t="shared" si="23"/>
        <v>6.3567236579290379E-2</v>
      </c>
      <c r="N58" s="235">
        <f t="shared" si="24"/>
        <v>5.0234893016873144E-2</v>
      </c>
      <c r="O58" s="235">
        <f t="shared" si="25"/>
        <v>-1.5189999999993154E-4</v>
      </c>
    </row>
    <row r="59" spans="1:15" x14ac:dyDescent="0.3">
      <c r="A59" s="152" t="s">
        <v>331</v>
      </c>
      <c r="B59" s="152"/>
      <c r="C59" s="163">
        <v>22632.33</v>
      </c>
      <c r="D59" s="163">
        <v>22919.65</v>
      </c>
      <c r="E59" s="163">
        <v>24071</v>
      </c>
      <c r="F59" s="163">
        <f t="shared" si="20"/>
        <v>24067.343615099999</v>
      </c>
      <c r="G59" s="164">
        <f t="shared" si="26"/>
        <v>24067.343615099999</v>
      </c>
      <c r="H59" s="164">
        <f t="shared" si="26"/>
        <v>24067.343615099999</v>
      </c>
      <c r="I59" s="164">
        <f t="shared" si="26"/>
        <v>24067.343615099999</v>
      </c>
      <c r="J59" s="164">
        <f t="shared" si="26"/>
        <v>24067.343615099999</v>
      </c>
      <c r="K59" s="152"/>
      <c r="L59" s="235">
        <f t="shared" si="22"/>
        <v>1.2695113583091078E-2</v>
      </c>
      <c r="M59" s="235">
        <f t="shared" si="23"/>
        <v>6.3567029996469571E-2</v>
      </c>
      <c r="N59" s="235">
        <f t="shared" si="24"/>
        <v>5.0234187694838207E-2</v>
      </c>
      <c r="O59" s="235">
        <f t="shared" si="25"/>
        <v>-1.5190000000005338E-4</v>
      </c>
    </row>
    <row r="60" spans="1:15" x14ac:dyDescent="0.3">
      <c r="A60" s="152" t="s">
        <v>332</v>
      </c>
      <c r="B60" s="152"/>
      <c r="C60" s="163">
        <v>27959.38</v>
      </c>
      <c r="D60" s="163">
        <v>28314.32</v>
      </c>
      <c r="E60" s="163">
        <v>29736.67</v>
      </c>
      <c r="F60" s="163">
        <f t="shared" si="20"/>
        <v>29732.152999826998</v>
      </c>
      <c r="G60" s="164">
        <f t="shared" si="26"/>
        <v>29732.152999826998</v>
      </c>
      <c r="H60" s="164">
        <f t="shared" si="26"/>
        <v>29732.152999826998</v>
      </c>
      <c r="I60" s="164">
        <f t="shared" si="26"/>
        <v>29732.152999826998</v>
      </c>
      <c r="J60" s="164">
        <f t="shared" si="26"/>
        <v>29732.152999826998</v>
      </c>
      <c r="K60" s="152"/>
      <c r="L60" s="235">
        <f t="shared" si="22"/>
        <v>1.2694845164663833E-2</v>
      </c>
      <c r="M60" s="235">
        <f t="shared" si="23"/>
        <v>6.356686020934646E-2</v>
      </c>
      <c r="N60" s="235">
        <f t="shared" si="24"/>
        <v>5.0234298404482201E-2</v>
      </c>
      <c r="O60" s="235">
        <f t="shared" si="25"/>
        <v>-1.5190000000000909E-4</v>
      </c>
    </row>
    <row r="61" spans="1:15" x14ac:dyDescent="0.3">
      <c r="A61" s="152" t="s">
        <v>333</v>
      </c>
      <c r="B61" s="152"/>
      <c r="C61" s="163">
        <v>44505.75</v>
      </c>
      <c r="D61" s="163">
        <v>45070.75</v>
      </c>
      <c r="E61" s="163">
        <v>47334.85</v>
      </c>
      <c r="F61" s="163">
        <f t="shared" si="20"/>
        <v>47327.659836284998</v>
      </c>
      <c r="G61" s="164">
        <f t="shared" si="26"/>
        <v>47327.659836284998</v>
      </c>
      <c r="H61" s="164">
        <f t="shared" si="26"/>
        <v>47327.659836284998</v>
      </c>
      <c r="I61" s="164">
        <f t="shared" si="26"/>
        <v>47327.659836284998</v>
      </c>
      <c r="J61" s="164">
        <f t="shared" si="26"/>
        <v>47327.659836284998</v>
      </c>
      <c r="K61" s="152"/>
      <c r="L61" s="235">
        <f t="shared" si="22"/>
        <v>1.2694988849755369E-2</v>
      </c>
      <c r="M61" s="235">
        <f t="shared" si="23"/>
        <v>6.3567067176713093E-2</v>
      </c>
      <c r="N61" s="235">
        <f t="shared" si="24"/>
        <v>5.0234353766023386E-2</v>
      </c>
      <c r="O61" s="235">
        <f t="shared" si="25"/>
        <v>-1.5190000000000806E-4</v>
      </c>
    </row>
    <row r="62" spans="1:15" x14ac:dyDescent="0.3">
      <c r="A62" s="152" t="s">
        <v>334</v>
      </c>
      <c r="B62" s="152"/>
      <c r="C62" s="163">
        <v>5124.42</v>
      </c>
      <c r="D62" s="163">
        <v>5189.47</v>
      </c>
      <c r="E62" s="163">
        <v>5450.16</v>
      </c>
      <c r="F62" s="163">
        <f t="shared" si="20"/>
        <v>5449.3321206959999</v>
      </c>
      <c r="G62" s="164">
        <f t="shared" si="26"/>
        <v>5449.3321206959999</v>
      </c>
      <c r="H62" s="164">
        <f t="shared" si="26"/>
        <v>5449.3321206959999</v>
      </c>
      <c r="I62" s="164">
        <f t="shared" si="26"/>
        <v>5449.3321206959999</v>
      </c>
      <c r="J62" s="164">
        <f t="shared" si="26"/>
        <v>5449.3321206959999</v>
      </c>
      <c r="K62" s="152"/>
      <c r="L62" s="235">
        <f t="shared" si="22"/>
        <v>1.2694119529624851E-2</v>
      </c>
      <c r="M62" s="235">
        <f t="shared" si="23"/>
        <v>6.3566218225672322E-2</v>
      </c>
      <c r="N62" s="235">
        <f t="shared" si="24"/>
        <v>5.0234417002121522E-2</v>
      </c>
      <c r="O62" s="235">
        <f t="shared" si="25"/>
        <v>-1.5189999999998298E-4</v>
      </c>
    </row>
    <row r="63" spans="1:15" x14ac:dyDescent="0.3">
      <c r="A63" s="152" t="s">
        <v>335</v>
      </c>
      <c r="B63" s="152"/>
      <c r="C63" s="163">
        <v>22280.69</v>
      </c>
      <c r="D63" s="163">
        <v>22563.54</v>
      </c>
      <c r="E63" s="163">
        <v>23697.01</v>
      </c>
      <c r="F63" s="163">
        <f t="shared" si="20"/>
        <v>23693.410424180998</v>
      </c>
      <c r="G63" s="164">
        <f t="shared" si="26"/>
        <v>23693.410424180998</v>
      </c>
      <c r="H63" s="164">
        <f t="shared" si="26"/>
        <v>23693.410424180998</v>
      </c>
      <c r="I63" s="164">
        <f t="shared" si="26"/>
        <v>23693.410424180998</v>
      </c>
      <c r="J63" s="164">
        <f t="shared" si="26"/>
        <v>23693.410424180998</v>
      </c>
      <c r="K63" s="152"/>
      <c r="L63" s="235">
        <f t="shared" si="22"/>
        <v>1.2694849216967796E-2</v>
      </c>
      <c r="M63" s="235">
        <f t="shared" si="23"/>
        <v>6.3567151645662665E-2</v>
      </c>
      <c r="N63" s="235">
        <f t="shared" si="24"/>
        <v>5.0234581984918925E-2</v>
      </c>
      <c r="O63" s="235">
        <f t="shared" si="25"/>
        <v>-1.5190000000000697E-4</v>
      </c>
    </row>
    <row r="64" spans="1:15" x14ac:dyDescent="0.3">
      <c r="A64" s="152"/>
      <c r="B64" s="152"/>
      <c r="C64" s="152"/>
      <c r="D64" s="152"/>
      <c r="E64" s="152"/>
      <c r="F64" s="152"/>
      <c r="G64" s="152"/>
      <c r="H64" s="152"/>
      <c r="I64" s="152"/>
      <c r="J64" s="152"/>
      <c r="K64" s="152"/>
      <c r="L64" s="229"/>
      <c r="M64" s="237"/>
      <c r="N64" s="237"/>
      <c r="O64" s="238"/>
    </row>
    <row r="65" spans="1:15" ht="14.4" x14ac:dyDescent="0.3">
      <c r="A65" s="158" t="s">
        <v>336</v>
      </c>
      <c r="B65" s="158"/>
      <c r="C65" s="159" t="str">
        <f>C2</f>
        <v>2023 (ex. prsbijst.)</v>
      </c>
      <c r="D65" s="262">
        <v>2023</v>
      </c>
      <c r="E65" s="263"/>
      <c r="F65" s="159">
        <f>F2</f>
        <v>2024</v>
      </c>
      <c r="G65" s="159">
        <f>G2</f>
        <v>2025</v>
      </c>
      <c r="H65" s="159">
        <f>H2</f>
        <v>2026</v>
      </c>
      <c r="I65" s="159">
        <f>I2</f>
        <v>2027</v>
      </c>
      <c r="J65" s="159">
        <f>J2</f>
        <v>2028</v>
      </c>
      <c r="K65" s="152"/>
      <c r="L65" s="234" t="str">
        <f>L7</f>
        <v>2e 22/23 - 1e 23</v>
      </c>
      <c r="M65" s="234" t="str">
        <f>M7</f>
        <v>2e 22/23 - 2e 23</v>
      </c>
      <c r="N65" s="234" t="str">
        <f>N7</f>
        <v>1e 23 - 2e 23</v>
      </c>
      <c r="O65" s="233" t="str">
        <f>O7</f>
        <v>2e 23 - 1e 24</v>
      </c>
    </row>
    <row r="66" spans="1:15" x14ac:dyDescent="0.3">
      <c r="A66" s="152" t="s">
        <v>337</v>
      </c>
      <c r="B66" s="152"/>
      <c r="C66" s="163">
        <v>335.16</v>
      </c>
      <c r="D66" s="166">
        <v>339.36</v>
      </c>
      <c r="E66" s="166">
        <v>356.41</v>
      </c>
      <c r="F66" s="163">
        <f t="shared" ref="F66:F72" si="27">E66*(1+F$5)</f>
        <v>356.35586132100002</v>
      </c>
      <c r="G66" s="167">
        <f t="shared" ref="G66:J75" si="28">F66</f>
        <v>356.35586132100002</v>
      </c>
      <c r="H66" s="167">
        <f t="shared" si="28"/>
        <v>356.35586132100002</v>
      </c>
      <c r="I66" s="167">
        <f t="shared" si="28"/>
        <v>356.35586132100002</v>
      </c>
      <c r="J66" s="167">
        <f t="shared" si="28"/>
        <v>356.35586132100002</v>
      </c>
      <c r="K66" s="152"/>
      <c r="L66" s="235">
        <f t="shared" ref="L66:L74" si="29">(D66-C66)/C66</f>
        <v>1.253132832080197E-2</v>
      </c>
      <c r="M66" s="235">
        <f t="shared" ref="M66:M78" si="30">(E66-C66)/C66</f>
        <v>6.3402554004057754E-2</v>
      </c>
      <c r="N66" s="239">
        <f t="shared" ref="N66:N78" si="31">(E66-D66)/D66</f>
        <v>5.0241631305987772E-2</v>
      </c>
      <c r="O66" s="239">
        <f t="shared" ref="O66:O78" si="32">(F66-E66)/E66</f>
        <v>-1.5190000000001312E-4</v>
      </c>
    </row>
    <row r="67" spans="1:15" x14ac:dyDescent="0.3">
      <c r="A67" s="152" t="s">
        <v>311</v>
      </c>
      <c r="B67" s="152"/>
      <c r="C67" s="163">
        <v>6238.94</v>
      </c>
      <c r="D67" s="163">
        <f>D36</f>
        <v>6318.14</v>
      </c>
      <c r="E67" s="163">
        <v>6635.53</v>
      </c>
      <c r="F67" s="163">
        <f t="shared" si="27"/>
        <v>6634.522062993</v>
      </c>
      <c r="G67" s="164">
        <f t="shared" si="28"/>
        <v>6634.522062993</v>
      </c>
      <c r="H67" s="164">
        <f t="shared" si="28"/>
        <v>6634.522062993</v>
      </c>
      <c r="I67" s="164">
        <f t="shared" si="28"/>
        <v>6634.522062993</v>
      </c>
      <c r="J67" s="164">
        <f t="shared" si="28"/>
        <v>6634.522062993</v>
      </c>
      <c r="K67" s="152"/>
      <c r="L67" s="235">
        <f t="shared" si="29"/>
        <v>1.2694464123713441E-2</v>
      </c>
      <c r="M67" s="235">
        <f t="shared" si="30"/>
        <v>6.3566887964942795E-2</v>
      </c>
      <c r="N67" s="239">
        <f t="shared" si="31"/>
        <v>5.0234720978009254E-2</v>
      </c>
      <c r="O67" s="239">
        <f t="shared" si="32"/>
        <v>-1.5189999999996718E-4</v>
      </c>
    </row>
    <row r="68" spans="1:15" x14ac:dyDescent="0.3">
      <c r="A68" s="152" t="s">
        <v>338</v>
      </c>
      <c r="B68" s="152"/>
      <c r="C68" s="163">
        <v>461.41</v>
      </c>
      <c r="D68" s="163">
        <v>467.3</v>
      </c>
      <c r="E68" s="163">
        <v>477.27</v>
      </c>
      <c r="F68" s="163">
        <f>(E68+13.5)*(1+F$5)</f>
        <v>490.695452037</v>
      </c>
      <c r="G68" s="164">
        <f t="shared" si="28"/>
        <v>490.695452037</v>
      </c>
      <c r="H68" s="164">
        <f t="shared" si="28"/>
        <v>490.695452037</v>
      </c>
      <c r="I68" s="164">
        <f t="shared" si="28"/>
        <v>490.695452037</v>
      </c>
      <c r="J68" s="164">
        <f t="shared" si="28"/>
        <v>490.695452037</v>
      </c>
      <c r="K68" s="152"/>
      <c r="L68" s="235">
        <f t="shared" si="29"/>
        <v>1.2765219652803333E-2</v>
      </c>
      <c r="M68" s="235">
        <f t="shared" si="30"/>
        <v>3.4372900457293853E-2</v>
      </c>
      <c r="N68" s="239">
        <f t="shared" si="31"/>
        <v>2.1335330622726235E-2</v>
      </c>
      <c r="O68" s="239">
        <f t="shared" si="32"/>
        <v>2.8129679294738856E-2</v>
      </c>
    </row>
    <row r="69" spans="1:15" x14ac:dyDescent="0.3">
      <c r="A69" s="152" t="s">
        <v>327</v>
      </c>
      <c r="B69" s="152"/>
      <c r="C69" s="163">
        <v>12166.9</v>
      </c>
      <c r="D69" s="163">
        <f>D55</f>
        <v>12321.36</v>
      </c>
      <c r="E69" s="163">
        <v>12940.31</v>
      </c>
      <c r="F69" s="163">
        <f t="shared" si="27"/>
        <v>12938.344366911</v>
      </c>
      <c r="G69" s="164">
        <f t="shared" si="28"/>
        <v>12938.344366911</v>
      </c>
      <c r="H69" s="164">
        <f t="shared" si="28"/>
        <v>12938.344366911</v>
      </c>
      <c r="I69" s="164">
        <f t="shared" si="28"/>
        <v>12938.344366911</v>
      </c>
      <c r="J69" s="164">
        <f t="shared" si="28"/>
        <v>12938.344366911</v>
      </c>
      <c r="K69" s="152"/>
      <c r="L69" s="235">
        <f t="shared" si="29"/>
        <v>1.2695098998101484E-2</v>
      </c>
      <c r="M69" s="235">
        <f t="shared" si="30"/>
        <v>6.3566726117581296E-2</v>
      </c>
      <c r="N69" s="239">
        <f t="shared" si="31"/>
        <v>5.023390275099493E-2</v>
      </c>
      <c r="O69" s="239">
        <f t="shared" si="32"/>
        <v>-1.518999999999468E-4</v>
      </c>
    </row>
    <row r="70" spans="1:15" x14ac:dyDescent="0.3">
      <c r="A70" s="152" t="s">
        <v>328</v>
      </c>
      <c r="B70" s="152"/>
      <c r="C70" s="163">
        <v>19797.93</v>
      </c>
      <c r="D70" s="163">
        <f t="shared" ref="D70:D71" si="33">D56</f>
        <v>20049.259999999998</v>
      </c>
      <c r="E70" s="163">
        <v>21056.43</v>
      </c>
      <c r="F70" s="163">
        <f t="shared" si="27"/>
        <v>21053.231528283002</v>
      </c>
      <c r="G70" s="164">
        <f t="shared" si="28"/>
        <v>21053.231528283002</v>
      </c>
      <c r="H70" s="164">
        <f t="shared" si="28"/>
        <v>21053.231528283002</v>
      </c>
      <c r="I70" s="164">
        <f t="shared" si="28"/>
        <v>21053.231528283002</v>
      </c>
      <c r="J70" s="164">
        <f t="shared" si="28"/>
        <v>21053.231528283002</v>
      </c>
      <c r="K70" s="152"/>
      <c r="L70" s="235">
        <f t="shared" si="29"/>
        <v>1.269476152304802E-2</v>
      </c>
      <c r="M70" s="235">
        <f t="shared" si="30"/>
        <v>6.3567251727832147E-2</v>
      </c>
      <c r="N70" s="239">
        <f t="shared" si="31"/>
        <v>5.0234771757162205E-2</v>
      </c>
      <c r="O70" s="239">
        <f t="shared" si="32"/>
        <v>-1.5189999999990639E-4</v>
      </c>
    </row>
    <row r="71" spans="1:15" x14ac:dyDescent="0.3">
      <c r="A71" s="152" t="s">
        <v>329</v>
      </c>
      <c r="B71" s="152"/>
      <c r="C71" s="163">
        <v>29546.15</v>
      </c>
      <c r="D71" s="163">
        <f t="shared" si="33"/>
        <v>29921.24</v>
      </c>
      <c r="E71" s="163">
        <v>31424.31</v>
      </c>
      <c r="F71" s="163">
        <f t="shared" si="27"/>
        <v>31419.536647311001</v>
      </c>
      <c r="G71" s="164">
        <f t="shared" si="28"/>
        <v>31419.536647311001</v>
      </c>
      <c r="H71" s="164">
        <f t="shared" si="28"/>
        <v>31419.536647311001</v>
      </c>
      <c r="I71" s="164">
        <f t="shared" si="28"/>
        <v>31419.536647311001</v>
      </c>
      <c r="J71" s="164">
        <f t="shared" si="28"/>
        <v>31419.536647311001</v>
      </c>
      <c r="K71" s="152"/>
      <c r="L71" s="235">
        <f t="shared" si="29"/>
        <v>1.2695055024089437E-2</v>
      </c>
      <c r="M71" s="235">
        <f t="shared" si="30"/>
        <v>6.3566996038400936E-2</v>
      </c>
      <c r="N71" s="239">
        <f t="shared" si="31"/>
        <v>5.0234214892163551E-2</v>
      </c>
      <c r="O71" s="239">
        <f t="shared" si="32"/>
        <v>-1.519000000000192E-4</v>
      </c>
    </row>
    <row r="72" spans="1:15" x14ac:dyDescent="0.3">
      <c r="A72" s="152" t="s">
        <v>339</v>
      </c>
      <c r="B72" s="152"/>
      <c r="C72" s="163">
        <v>14.18</v>
      </c>
      <c r="D72" s="163">
        <v>14.36</v>
      </c>
      <c r="E72" s="163">
        <v>15.09</v>
      </c>
      <c r="F72" s="163">
        <f t="shared" si="27"/>
        <v>15.087707828999999</v>
      </c>
      <c r="G72" s="164">
        <f t="shared" si="28"/>
        <v>15.087707828999999</v>
      </c>
      <c r="H72" s="164">
        <f t="shared" si="28"/>
        <v>15.087707828999999</v>
      </c>
      <c r="I72" s="164">
        <f t="shared" si="28"/>
        <v>15.087707828999999</v>
      </c>
      <c r="J72" s="164">
        <f t="shared" si="28"/>
        <v>15.087707828999999</v>
      </c>
      <c r="K72" s="152"/>
      <c r="L72" s="235">
        <f t="shared" si="29"/>
        <v>1.2693935119887145E-2</v>
      </c>
      <c r="M72" s="235">
        <f t="shared" si="30"/>
        <v>6.4174894217207346E-2</v>
      </c>
      <c r="N72" s="239">
        <f t="shared" si="31"/>
        <v>5.0835654596100309E-2</v>
      </c>
      <c r="O72" s="239">
        <f t="shared" si="32"/>
        <v>-1.5190000000003741E-4</v>
      </c>
    </row>
    <row r="73" spans="1:15" x14ac:dyDescent="0.3">
      <c r="A73" s="152" t="s">
        <v>340</v>
      </c>
      <c r="B73" s="152"/>
      <c r="C73" s="223"/>
      <c r="D73" s="223">
        <v>109.33</v>
      </c>
      <c r="E73" s="223">
        <v>115.63</v>
      </c>
      <c r="F73" s="223">
        <v>115.63</v>
      </c>
      <c r="G73" s="223">
        <f t="shared" si="28"/>
        <v>115.63</v>
      </c>
      <c r="H73" s="223">
        <f t="shared" si="28"/>
        <v>115.63</v>
      </c>
      <c r="I73" s="223">
        <f t="shared" si="28"/>
        <v>115.63</v>
      </c>
      <c r="J73" s="223">
        <f t="shared" si="28"/>
        <v>115.63</v>
      </c>
      <c r="K73" s="152"/>
      <c r="L73" s="235" t="e">
        <f t="shared" si="29"/>
        <v>#DIV/0!</v>
      </c>
      <c r="M73" s="235" t="e">
        <f t="shared" si="30"/>
        <v>#DIV/0!</v>
      </c>
      <c r="N73" s="239">
        <f t="shared" si="31"/>
        <v>5.7623708039879241E-2</v>
      </c>
      <c r="O73" s="239">
        <f t="shared" si="32"/>
        <v>0</v>
      </c>
    </row>
    <row r="74" spans="1:15" x14ac:dyDescent="0.3">
      <c r="A74" s="152" t="s">
        <v>341</v>
      </c>
      <c r="B74" s="152"/>
      <c r="C74" s="223"/>
      <c r="D74" s="223">
        <v>5187.62</v>
      </c>
      <c r="E74" s="223">
        <v>5486.57</v>
      </c>
      <c r="F74" s="223">
        <v>5486.57</v>
      </c>
      <c r="G74" s="223">
        <f t="shared" si="28"/>
        <v>5486.57</v>
      </c>
      <c r="H74" s="223">
        <f t="shared" si="28"/>
        <v>5486.57</v>
      </c>
      <c r="I74" s="223">
        <f t="shared" si="28"/>
        <v>5486.57</v>
      </c>
      <c r="J74" s="223">
        <f t="shared" si="28"/>
        <v>5486.57</v>
      </c>
      <c r="K74" s="152"/>
      <c r="L74" s="235" t="e">
        <f t="shared" si="29"/>
        <v>#DIV/0!</v>
      </c>
      <c r="M74" s="235" t="e">
        <f t="shared" si="30"/>
        <v>#DIV/0!</v>
      </c>
      <c r="N74" s="239">
        <f t="shared" si="31"/>
        <v>5.7627582590860517E-2</v>
      </c>
      <c r="O74" s="239">
        <f t="shared" si="32"/>
        <v>0</v>
      </c>
    </row>
    <row r="75" spans="1:15" x14ac:dyDescent="0.3">
      <c r="A75" s="152" t="s">
        <v>342</v>
      </c>
      <c r="B75" s="152"/>
      <c r="C75" s="163">
        <v>756.44</v>
      </c>
      <c r="D75" s="163">
        <v>756.42</v>
      </c>
      <c r="E75" s="163">
        <v>781.39</v>
      </c>
      <c r="F75" s="163">
        <f>(E75-10.52+12.5)*(1+F$5)</f>
        <v>783.25100609700007</v>
      </c>
      <c r="G75" s="164">
        <f t="shared" si="28"/>
        <v>783.25100609700007</v>
      </c>
      <c r="H75" s="164">
        <f t="shared" si="28"/>
        <v>783.25100609700007</v>
      </c>
      <c r="I75" s="164">
        <f t="shared" si="28"/>
        <v>783.25100609700007</v>
      </c>
      <c r="J75" s="164">
        <f t="shared" si="28"/>
        <v>783.25100609700007</v>
      </c>
      <c r="K75" s="152"/>
      <c r="L75" s="235">
        <f t="shared" ref="L75:L78" si="34">(D75-C75)/C75</f>
        <v>-2.643963830587422E-5</v>
      </c>
      <c r="M75" s="235">
        <f t="shared" si="30"/>
        <v>3.2983448786420511E-2</v>
      </c>
      <c r="N75" s="239">
        <f t="shared" si="31"/>
        <v>3.3010761217313174E-2</v>
      </c>
      <c r="O75" s="239">
        <f t="shared" si="32"/>
        <v>2.3816610105070273E-3</v>
      </c>
    </row>
    <row r="76" spans="1:15" x14ac:dyDescent="0.3">
      <c r="A76" s="152" t="s">
        <v>330</v>
      </c>
      <c r="B76" s="152"/>
      <c r="C76" s="163">
        <v>12966.9</v>
      </c>
      <c r="D76" s="163">
        <f>D58</f>
        <v>13131.51</v>
      </c>
      <c r="E76" s="163">
        <v>13791.17</v>
      </c>
      <c r="F76" s="163">
        <f t="shared" ref="F76:F78" si="35">E76*(1+F$5)</f>
        <v>13789.075121277001</v>
      </c>
      <c r="G76" s="164">
        <f t="shared" ref="G76:J78" si="36">G58</f>
        <v>13789.075121277001</v>
      </c>
      <c r="H76" s="164">
        <f t="shared" si="36"/>
        <v>13789.075121277001</v>
      </c>
      <c r="I76" s="164">
        <f t="shared" si="36"/>
        <v>13789.075121277001</v>
      </c>
      <c r="J76" s="164">
        <f t="shared" si="36"/>
        <v>13789.075121277001</v>
      </c>
      <c r="K76" s="152"/>
      <c r="L76" s="235">
        <f t="shared" si="34"/>
        <v>1.2694630173750132E-2</v>
      </c>
      <c r="M76" s="235">
        <f t="shared" si="30"/>
        <v>6.3567236579290379E-2</v>
      </c>
      <c r="N76" s="239">
        <f t="shared" si="31"/>
        <v>5.0234893016873144E-2</v>
      </c>
      <c r="O76" s="239">
        <f t="shared" si="32"/>
        <v>-1.5189999999993154E-4</v>
      </c>
    </row>
    <row r="77" spans="1:15" x14ac:dyDescent="0.3">
      <c r="A77" s="152" t="s">
        <v>331</v>
      </c>
      <c r="B77" s="152"/>
      <c r="C77" s="163">
        <v>22632.33</v>
      </c>
      <c r="D77" s="163">
        <f t="shared" ref="D77:D78" si="37">D59</f>
        <v>22919.65</v>
      </c>
      <c r="E77" s="163">
        <v>24071</v>
      </c>
      <c r="F77" s="163">
        <f t="shared" si="35"/>
        <v>24067.343615099999</v>
      </c>
      <c r="G77" s="164">
        <f t="shared" si="36"/>
        <v>24067.343615099999</v>
      </c>
      <c r="H77" s="164">
        <f t="shared" si="36"/>
        <v>24067.343615099999</v>
      </c>
      <c r="I77" s="164">
        <f t="shared" si="36"/>
        <v>24067.343615099999</v>
      </c>
      <c r="J77" s="164">
        <f t="shared" si="36"/>
        <v>24067.343615099999</v>
      </c>
      <c r="K77" s="152"/>
      <c r="L77" s="235">
        <f t="shared" si="34"/>
        <v>1.2695113583091078E-2</v>
      </c>
      <c r="M77" s="235">
        <f t="shared" si="30"/>
        <v>6.3567029996469571E-2</v>
      </c>
      <c r="N77" s="239">
        <f t="shared" si="31"/>
        <v>5.0234187694838207E-2</v>
      </c>
      <c r="O77" s="239">
        <f t="shared" si="32"/>
        <v>-1.5190000000005338E-4</v>
      </c>
    </row>
    <row r="78" spans="1:15" x14ac:dyDescent="0.3">
      <c r="A78" s="152" t="s">
        <v>332</v>
      </c>
      <c r="B78" s="152"/>
      <c r="C78" s="163">
        <v>27959.38</v>
      </c>
      <c r="D78" s="163">
        <f t="shared" si="37"/>
        <v>28314.32</v>
      </c>
      <c r="E78" s="163">
        <v>29736.67</v>
      </c>
      <c r="F78" s="163">
        <f t="shared" si="35"/>
        <v>29732.152999826998</v>
      </c>
      <c r="G78" s="164">
        <f t="shared" si="36"/>
        <v>29732.152999826998</v>
      </c>
      <c r="H78" s="164">
        <f t="shared" si="36"/>
        <v>29732.152999826998</v>
      </c>
      <c r="I78" s="164">
        <f t="shared" si="36"/>
        <v>29732.152999826998</v>
      </c>
      <c r="J78" s="164">
        <f t="shared" si="36"/>
        <v>29732.152999826998</v>
      </c>
      <c r="K78" s="152"/>
      <c r="L78" s="235">
        <f t="shared" si="34"/>
        <v>1.2694845164663833E-2</v>
      </c>
      <c r="M78" s="235">
        <f t="shared" si="30"/>
        <v>6.356686020934646E-2</v>
      </c>
      <c r="N78" s="239">
        <f t="shared" si="31"/>
        <v>5.0234298404482201E-2</v>
      </c>
      <c r="O78" s="239">
        <f t="shared" si="32"/>
        <v>-1.5190000000000909E-4</v>
      </c>
    </row>
    <row r="79" spans="1:15" x14ac:dyDescent="0.3">
      <c r="A79" s="152"/>
      <c r="B79" s="152"/>
      <c r="C79" s="152"/>
      <c r="D79" s="152"/>
      <c r="E79" s="152"/>
      <c r="F79" s="152"/>
      <c r="G79" s="152"/>
      <c r="H79" s="152"/>
      <c r="I79" s="152"/>
      <c r="J79" s="152"/>
      <c r="K79" s="152"/>
      <c r="L79" s="229"/>
      <c r="M79" s="240"/>
      <c r="N79" s="240"/>
      <c r="O79" s="238"/>
    </row>
    <row r="80" spans="1:15" ht="14.4" x14ac:dyDescent="0.3">
      <c r="A80" s="158" t="s">
        <v>343</v>
      </c>
      <c r="B80" s="158"/>
      <c r="C80" s="159" t="str">
        <f>C2</f>
        <v>2023 (ex. prsbijst.)</v>
      </c>
      <c r="D80" s="262">
        <v>2023</v>
      </c>
      <c r="E80" s="263"/>
      <c r="F80" s="159">
        <f>F2</f>
        <v>2024</v>
      </c>
      <c r="G80" s="159">
        <f>G2</f>
        <v>2025</v>
      </c>
      <c r="H80" s="159">
        <f>H2</f>
        <v>2026</v>
      </c>
      <c r="I80" s="159">
        <f>I2</f>
        <v>2027</v>
      </c>
      <c r="J80" s="159">
        <f>J2</f>
        <v>2028</v>
      </c>
      <c r="K80" s="152"/>
      <c r="L80" s="229"/>
      <c r="M80" s="240"/>
      <c r="N80" s="240"/>
      <c r="O80" s="238"/>
    </row>
    <row r="81" spans="1:15" x14ac:dyDescent="0.3">
      <c r="A81" s="152" t="s">
        <v>344</v>
      </c>
      <c r="B81" s="152"/>
      <c r="C81" s="152"/>
      <c r="D81" s="177">
        <v>0.75</v>
      </c>
      <c r="E81" s="177">
        <v>0.75</v>
      </c>
      <c r="F81" s="168">
        <v>0.5</v>
      </c>
      <c r="G81" s="168">
        <v>0.25</v>
      </c>
      <c r="H81" s="168"/>
      <c r="I81" s="152"/>
      <c r="J81" s="152"/>
      <c r="K81" s="152"/>
      <c r="L81" s="229"/>
      <c r="M81" s="240"/>
      <c r="N81" s="240"/>
      <c r="O81" s="238"/>
    </row>
    <row r="82" spans="1:15" x14ac:dyDescent="0.3">
      <c r="A82" s="162" t="s">
        <v>345</v>
      </c>
      <c r="B82" s="162"/>
      <c r="C82" s="162"/>
      <c r="D82" s="176">
        <v>-0.01</v>
      </c>
      <c r="E82" s="176">
        <v>-0.01</v>
      </c>
      <c r="F82" s="168">
        <v>-0.02</v>
      </c>
      <c r="G82" s="168">
        <v>-0.03</v>
      </c>
      <c r="H82" s="168"/>
      <c r="I82" s="152"/>
      <c r="J82" s="152"/>
      <c r="K82" s="152"/>
      <c r="L82" s="229"/>
      <c r="M82" s="240"/>
      <c r="N82" s="240"/>
      <c r="O82" s="238"/>
    </row>
    <row r="83" spans="1:15" x14ac:dyDescent="0.3">
      <c r="A83" s="162" t="s">
        <v>346</v>
      </c>
      <c r="B83" s="162"/>
      <c r="C83" s="162"/>
      <c r="D83" s="176">
        <v>0.01</v>
      </c>
      <c r="E83" s="176">
        <v>0.01</v>
      </c>
      <c r="F83" s="168">
        <v>0.02</v>
      </c>
      <c r="G83" s="168">
        <v>0.03</v>
      </c>
      <c r="H83" s="168"/>
      <c r="I83" s="152"/>
      <c r="J83" s="152"/>
      <c r="K83" s="152"/>
      <c r="L83" s="229"/>
      <c r="M83" s="240"/>
      <c r="N83" s="240"/>
      <c r="O83" s="238"/>
    </row>
    <row r="84" spans="1:15" ht="14.4" customHeight="1" x14ac:dyDescent="0.3">
      <c r="A84" s="152"/>
      <c r="B84" s="152"/>
      <c r="C84" s="152"/>
      <c r="D84" s="152"/>
      <c r="E84" s="152"/>
      <c r="F84" s="152"/>
      <c r="G84" s="152"/>
      <c r="H84" s="152"/>
      <c r="I84" s="152"/>
      <c r="J84" s="152"/>
      <c r="K84" s="152"/>
      <c r="L84" s="229"/>
      <c r="M84" s="240"/>
      <c r="N84" s="240"/>
      <c r="O84" s="238"/>
    </row>
    <row r="85" spans="1:15" ht="14.4" customHeight="1" x14ac:dyDescent="0.3">
      <c r="A85" s="1" t="s">
        <v>347</v>
      </c>
      <c r="F85" s="175">
        <v>1.6000000000000001E-3</v>
      </c>
      <c r="G85" s="175">
        <v>1.6000000000000001E-3</v>
      </c>
      <c r="H85" s="152"/>
      <c r="I85" s="152"/>
      <c r="J85" s="152"/>
      <c r="K85" s="152"/>
      <c r="L85" s="229"/>
      <c r="M85" s="240"/>
      <c r="N85" s="240"/>
      <c r="O85" s="238"/>
    </row>
    <row r="86" spans="1:15" ht="14.4" customHeight="1" x14ac:dyDescent="0.3">
      <c r="A86" s="152"/>
      <c r="B86" s="152"/>
      <c r="C86" s="152"/>
      <c r="D86" s="152"/>
      <c r="E86" s="152"/>
      <c r="F86" s="152"/>
      <c r="G86" s="152"/>
      <c r="H86" s="152"/>
      <c r="I86" s="152"/>
      <c r="J86" s="152"/>
      <c r="K86" s="152"/>
      <c r="L86" s="229"/>
      <c r="M86" s="240"/>
      <c r="N86" s="240"/>
      <c r="O86" s="238"/>
    </row>
    <row r="87" spans="1:15" ht="14.4" customHeight="1" x14ac:dyDescent="0.3">
      <c r="A87" s="152"/>
      <c r="B87" s="152"/>
      <c r="C87" s="152"/>
      <c r="D87" s="152"/>
      <c r="E87" s="152"/>
      <c r="F87" s="152"/>
      <c r="G87" s="152"/>
      <c r="H87" s="152"/>
      <c r="I87" s="152"/>
      <c r="J87" s="152"/>
      <c r="K87" s="152"/>
      <c r="L87" s="229"/>
      <c r="M87" s="240"/>
      <c r="N87" s="240"/>
      <c r="O87" s="238"/>
    </row>
    <row r="88" spans="1:15" ht="14.4" customHeight="1" x14ac:dyDescent="0.3">
      <c r="A88" s="158" t="s">
        <v>348</v>
      </c>
      <c r="B88" s="158"/>
      <c r="C88" s="159" t="str">
        <f t="shared" ref="C88" si="38">C7</f>
        <v>2023 (ex. prs.bijst.)</v>
      </c>
      <c r="D88" s="262">
        <v>2023</v>
      </c>
      <c r="E88" s="263"/>
      <c r="F88" s="159">
        <f t="shared" ref="F88:J88" si="39">F7</f>
        <v>2024</v>
      </c>
      <c r="G88" s="159">
        <f t="shared" si="39"/>
        <v>2025</v>
      </c>
      <c r="H88" s="159">
        <f t="shared" si="39"/>
        <v>2026</v>
      </c>
      <c r="I88" s="159">
        <f t="shared" si="39"/>
        <v>2027</v>
      </c>
      <c r="J88" s="159">
        <f t="shared" si="39"/>
        <v>2028</v>
      </c>
      <c r="K88" s="152"/>
      <c r="L88" s="229"/>
      <c r="M88" s="240"/>
      <c r="N88" s="240"/>
      <c r="O88" s="238"/>
    </row>
    <row r="89" spans="1:15" ht="14.4" customHeight="1" x14ac:dyDescent="0.3">
      <c r="A89" s="1" t="s">
        <v>349</v>
      </c>
      <c r="B89" s="169"/>
      <c r="C89" s="169"/>
      <c r="D89" s="163">
        <v>100.03</v>
      </c>
      <c r="E89" s="163">
        <v>100.03</v>
      </c>
      <c r="F89" s="163">
        <v>100.03</v>
      </c>
      <c r="G89" s="164">
        <v>0</v>
      </c>
      <c r="H89" s="164">
        <f t="shared" ref="H89:J89" si="40">G89</f>
        <v>0</v>
      </c>
      <c r="I89" s="164">
        <f t="shared" si="40"/>
        <v>0</v>
      </c>
      <c r="J89" s="164">
        <f t="shared" si="40"/>
        <v>0</v>
      </c>
      <c r="K89" s="152"/>
      <c r="L89" s="229"/>
      <c r="M89" s="240"/>
      <c r="N89" s="240"/>
      <c r="O89" s="238"/>
    </row>
    <row r="90" spans="1:15" ht="14.4" customHeight="1" x14ac:dyDescent="0.3">
      <c r="M90" s="240"/>
      <c r="N90" s="240"/>
      <c r="O90" s="238"/>
    </row>
    <row r="91" spans="1:15" ht="14.4" customHeight="1" x14ac:dyDescent="0.3">
      <c r="M91" s="240"/>
      <c r="N91" s="240"/>
      <c r="O91" s="238"/>
    </row>
    <row r="92" spans="1:15" ht="14.4" customHeight="1" x14ac:dyDescent="0.3"/>
    <row r="93" spans="1:15" ht="14.4" customHeight="1" x14ac:dyDescent="0.3"/>
    <row r="94" spans="1:15" ht="14.4" customHeight="1" x14ac:dyDescent="0.3"/>
    <row r="95" spans="1:15" ht="14.4" customHeight="1" x14ac:dyDescent="0.3"/>
    <row r="96" spans="1:15" ht="14.4" customHeight="1" x14ac:dyDescent="0.3"/>
    <row r="97" ht="14.4" customHeight="1" x14ac:dyDescent="0.3"/>
  </sheetData>
  <sheetProtection algorithmName="SHA-512" hashValue="6KcpaAbC3jS8PRzxBIjanJVbdn066RhAOysiVLJqIASBBW++VlaT7qhDTjCpJfL5ZNiFtAWteclFQuXDje8SpA==" saltValue="akt8WxwNPRj1WBwFiSKPvQ==" spinCount="100000" sheet="1" objects="1" scenarios="1"/>
  <mergeCells count="7">
    <mergeCell ref="D2:E2"/>
    <mergeCell ref="D7:E7"/>
    <mergeCell ref="D88:E88"/>
    <mergeCell ref="D30:E30"/>
    <mergeCell ref="D40:E40"/>
    <mergeCell ref="D65:E65"/>
    <mergeCell ref="D80:E80"/>
  </mergeCells>
  <hyperlinks>
    <hyperlink ref="D3" r:id="rId1" display="https://zoek.officielebekendmakingen.nl/stcrt-2022-27684.pdf" xr:uid="{1C5AE834-0F7C-4250-B97B-A8391A2B96F4}"/>
  </hyperlinks>
  <pageMargins left="0.7" right="0.7" top="0.75" bottom="0.75" header="0.3" footer="0.3"/>
  <pageSetup paperSize="9" scale="65" orientation="portrait" horizontalDpi="4294967293" verticalDpi="4294967293"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BCCA-9877-4D0F-94A2-542B9E918316}">
  <sheetPr>
    <tabColor theme="7" tint="0.79998168889431442"/>
  </sheetPr>
  <dimension ref="B2:T84"/>
  <sheetViews>
    <sheetView zoomScale="85" zoomScaleNormal="85" workbookViewId="0">
      <selection activeCell="N8" sqref="N8"/>
    </sheetView>
  </sheetViews>
  <sheetFormatPr defaultColWidth="8.6640625" defaultRowHeight="13.8" x14ac:dyDescent="0.3"/>
  <cols>
    <col min="1" max="2" width="2.5546875" style="1" customWidth="1"/>
    <col min="3" max="3" width="50.6640625" style="1" customWidth="1"/>
    <col min="4" max="4" width="1.5546875" style="1" customWidth="1"/>
    <col min="5" max="5" width="14.5546875" style="1" customWidth="1"/>
    <col min="6" max="6" width="14.5546875" style="2" customWidth="1"/>
    <col min="7" max="10" width="14.5546875" style="1" customWidth="1"/>
    <col min="11" max="12" width="2.5546875" style="1" customWidth="1"/>
    <col min="13" max="16" width="8.5546875" style="1" customWidth="1"/>
    <col min="17" max="17" width="13.6640625" style="1" customWidth="1"/>
    <col min="18" max="18" width="15.88671875" style="1" customWidth="1"/>
    <col min="19" max="19" width="11.33203125" style="1" customWidth="1"/>
    <col min="20" max="43" width="8.5546875" style="1" customWidth="1"/>
    <col min="44" max="16384" width="8.6640625" style="1"/>
  </cols>
  <sheetData>
    <row r="2" spans="2:11" ht="15.6" x14ac:dyDescent="0.3">
      <c r="B2" s="9" t="s">
        <v>15</v>
      </c>
      <c r="F2" s="47"/>
    </row>
    <row r="4" spans="2:11" x14ac:dyDescent="0.3">
      <c r="B4" s="20"/>
      <c r="C4" s="21"/>
      <c r="D4" s="21"/>
      <c r="E4" s="21"/>
      <c r="F4" s="22"/>
      <c r="G4" s="21"/>
      <c r="H4" s="21"/>
      <c r="I4" s="21"/>
      <c r="J4" s="21"/>
      <c r="K4" s="23"/>
    </row>
    <row r="5" spans="2:11" ht="12.9" customHeight="1" x14ac:dyDescent="0.3">
      <c r="B5" s="24"/>
      <c r="C5" s="1" t="s">
        <v>16</v>
      </c>
      <c r="F5" s="250" t="s">
        <v>17</v>
      </c>
      <c r="G5" s="251"/>
      <c r="K5" s="25"/>
    </row>
    <row r="6" spans="2:11" ht="12.9" customHeight="1" x14ac:dyDescent="0.3">
      <c r="B6" s="24"/>
      <c r="C6" s="1" t="s">
        <v>18</v>
      </c>
      <c r="F6" s="250" t="s">
        <v>19</v>
      </c>
      <c r="G6" s="251"/>
      <c r="K6" s="25"/>
    </row>
    <row r="7" spans="2:11" x14ac:dyDescent="0.3">
      <c r="B7" s="24"/>
      <c r="K7" s="25"/>
    </row>
    <row r="8" spans="2:11" x14ac:dyDescent="0.3">
      <c r="B8" s="24"/>
      <c r="C8" s="17" t="s">
        <v>20</v>
      </c>
      <c r="D8" s="179"/>
      <c r="E8" s="180">
        <v>2023</v>
      </c>
      <c r="F8" s="180">
        <f>tab!F2</f>
        <v>2024</v>
      </c>
      <c r="G8" s="180">
        <f>tab!G2</f>
        <v>2025</v>
      </c>
      <c r="H8" s="180">
        <f>tab!H2</f>
        <v>2026</v>
      </c>
      <c r="I8" s="180">
        <f>tab!I2</f>
        <v>2027</v>
      </c>
      <c r="J8" s="180">
        <f>tab!J2</f>
        <v>2028</v>
      </c>
      <c r="K8" s="25"/>
    </row>
    <row r="9" spans="2:11" x14ac:dyDescent="0.3">
      <c r="B9" s="24"/>
      <c r="C9" s="17" t="s">
        <v>21</v>
      </c>
      <c r="D9" s="179"/>
      <c r="E9" s="19">
        <v>44593</v>
      </c>
      <c r="F9" s="19" t="str">
        <f>tab!F4</f>
        <v>1-2-2023</v>
      </c>
      <c r="G9" s="19" t="str">
        <f>tab!G4</f>
        <v>1-2-2024</v>
      </c>
      <c r="H9" s="19" t="str">
        <f>tab!H4</f>
        <v>1-2-2025</v>
      </c>
      <c r="I9" s="19" t="str">
        <f>tab!I4</f>
        <v>1-2-2026</v>
      </c>
      <c r="J9" s="19" t="str">
        <f>tab!J4</f>
        <v>1-2-2027</v>
      </c>
      <c r="K9" s="25"/>
    </row>
    <row r="10" spans="2:11" x14ac:dyDescent="0.3">
      <c r="B10" s="24"/>
      <c r="C10" s="3" t="s">
        <v>22</v>
      </c>
      <c r="E10" s="222"/>
      <c r="F10" s="222"/>
      <c r="G10" s="5"/>
      <c r="H10" s="5"/>
      <c r="I10" s="5"/>
      <c r="J10" s="5"/>
      <c r="K10" s="25"/>
    </row>
    <row r="11" spans="2:11" x14ac:dyDescent="0.3">
      <c r="B11" s="24"/>
      <c r="C11" s="1" t="s">
        <v>23</v>
      </c>
      <c r="E11" s="53">
        <v>200</v>
      </c>
      <c r="F11" s="53">
        <f>E11</f>
        <v>200</v>
      </c>
      <c r="G11" s="53">
        <f>F11</f>
        <v>200</v>
      </c>
      <c r="H11" s="53">
        <f t="shared" ref="H11:J11" si="0">G11</f>
        <v>200</v>
      </c>
      <c r="I11" s="53">
        <f t="shared" si="0"/>
        <v>200</v>
      </c>
      <c r="J11" s="53">
        <f t="shared" si="0"/>
        <v>200</v>
      </c>
      <c r="K11" s="25"/>
    </row>
    <row r="12" spans="2:11" x14ac:dyDescent="0.3">
      <c r="B12" s="24"/>
      <c r="C12" s="1" t="s">
        <v>24</v>
      </c>
      <c r="E12" s="84">
        <v>0</v>
      </c>
      <c r="F12" s="84">
        <v>0</v>
      </c>
      <c r="G12" s="84">
        <f t="shared" ref="G12:J16" si="1">F12</f>
        <v>0</v>
      </c>
      <c r="H12" s="84">
        <f t="shared" si="1"/>
        <v>0</v>
      </c>
      <c r="I12" s="84">
        <f t="shared" si="1"/>
        <v>0</v>
      </c>
      <c r="J12" s="84">
        <f t="shared" si="1"/>
        <v>0</v>
      </c>
      <c r="K12" s="25"/>
    </row>
    <row r="13" spans="2:11" x14ac:dyDescent="0.3">
      <c r="B13" s="24"/>
      <c r="C13" s="1" t="s">
        <v>25</v>
      </c>
      <c r="E13" s="53">
        <v>100</v>
      </c>
      <c r="F13" s="53">
        <v>100</v>
      </c>
      <c r="G13" s="53">
        <f t="shared" si="1"/>
        <v>100</v>
      </c>
      <c r="H13" s="53">
        <f t="shared" si="1"/>
        <v>100</v>
      </c>
      <c r="I13" s="53">
        <f t="shared" si="1"/>
        <v>100</v>
      </c>
      <c r="J13" s="53">
        <f t="shared" si="1"/>
        <v>100</v>
      </c>
      <c r="K13" s="25"/>
    </row>
    <row r="14" spans="2:11" x14ac:dyDescent="0.3">
      <c r="B14" s="24"/>
      <c r="C14" s="1" t="s">
        <v>26</v>
      </c>
      <c r="E14" s="53">
        <v>0</v>
      </c>
      <c r="F14" s="53">
        <v>0</v>
      </c>
      <c r="G14" s="53">
        <f t="shared" si="1"/>
        <v>0</v>
      </c>
      <c r="H14" s="53">
        <f t="shared" si="1"/>
        <v>0</v>
      </c>
      <c r="I14" s="53">
        <f t="shared" si="1"/>
        <v>0</v>
      </c>
      <c r="J14" s="53">
        <f t="shared" si="1"/>
        <v>0</v>
      </c>
      <c r="K14" s="25"/>
    </row>
    <row r="15" spans="2:11" x14ac:dyDescent="0.3">
      <c r="B15" s="24"/>
      <c r="C15" s="1" t="s">
        <v>27</v>
      </c>
      <c r="E15" s="53">
        <v>20</v>
      </c>
      <c r="F15" s="53">
        <v>20</v>
      </c>
      <c r="G15" s="53">
        <f t="shared" si="1"/>
        <v>20</v>
      </c>
      <c r="H15" s="53">
        <f t="shared" si="1"/>
        <v>20</v>
      </c>
      <c r="I15" s="53">
        <f t="shared" si="1"/>
        <v>20</v>
      </c>
      <c r="J15" s="53">
        <f t="shared" si="1"/>
        <v>20</v>
      </c>
      <c r="K15" s="25"/>
    </row>
    <row r="16" spans="2:11" x14ac:dyDescent="0.3">
      <c r="B16" s="24"/>
      <c r="C16" s="1" t="s">
        <v>28</v>
      </c>
      <c r="E16" s="53">
        <v>0</v>
      </c>
      <c r="F16" s="53">
        <v>0</v>
      </c>
      <c r="G16" s="53">
        <f t="shared" si="1"/>
        <v>0</v>
      </c>
      <c r="H16" s="53">
        <f t="shared" si="1"/>
        <v>0</v>
      </c>
      <c r="I16" s="53">
        <f t="shared" si="1"/>
        <v>0</v>
      </c>
      <c r="J16" s="53">
        <f t="shared" si="1"/>
        <v>0</v>
      </c>
      <c r="K16" s="25"/>
    </row>
    <row r="17" spans="2:14" x14ac:dyDescent="0.3">
      <c r="B17" s="24"/>
      <c r="F17" s="4"/>
      <c r="G17" s="4"/>
      <c r="H17" s="4"/>
      <c r="I17" s="4"/>
      <c r="J17" s="4"/>
      <c r="K17" s="25"/>
    </row>
    <row r="18" spans="2:14" x14ac:dyDescent="0.3">
      <c r="B18" s="24"/>
      <c r="C18" s="3" t="s">
        <v>29</v>
      </c>
      <c r="D18" s="3"/>
      <c r="E18" s="3"/>
      <c r="G18" s="2"/>
      <c r="H18" s="2"/>
      <c r="I18" s="2"/>
      <c r="J18" s="2"/>
      <c r="K18" s="25"/>
    </row>
    <row r="19" spans="2:14" x14ac:dyDescent="0.3">
      <c r="B19" s="24"/>
      <c r="C19" s="1" t="s">
        <v>30</v>
      </c>
      <c r="E19" s="82">
        <f>(E11*tab!E8)</f>
        <v>1218610</v>
      </c>
      <c r="F19" s="82">
        <f>(F11*tab!F8)</f>
        <v>1218424.8931410001</v>
      </c>
      <c r="G19" s="82">
        <f>(G11*tab!G8)</f>
        <v>1218424.8931410001</v>
      </c>
      <c r="H19" s="82">
        <f>(H11*tab!H8)</f>
        <v>1218424.8931410001</v>
      </c>
      <c r="I19" s="82">
        <f>(I11*tab!I8)</f>
        <v>1218424.8931410001</v>
      </c>
      <c r="J19" s="82">
        <f>(J11*tab!J8)</f>
        <v>1218424.8931410001</v>
      </c>
      <c r="K19" s="25"/>
      <c r="M19" s="48"/>
      <c r="N19" s="8"/>
    </row>
    <row r="20" spans="2:14" x14ac:dyDescent="0.3">
      <c r="B20" s="24"/>
      <c r="C20" s="1" t="s">
        <v>31</v>
      </c>
      <c r="E20" s="82">
        <f>IF(E11=0,0,(IF(E11&gt;=100,tab!E10,tab!E9)))</f>
        <v>109339.43</v>
      </c>
      <c r="F20" s="82">
        <f>IF(F11=0,0,(IF(F11&gt;=100,tab!F10,tab!F9)))</f>
        <v>109322.82134058299</v>
      </c>
      <c r="G20" s="82">
        <f>IF(G11=0,0,(IF(G11&gt;=100,tab!G10,tab!G9)))</f>
        <v>109322.82134058299</v>
      </c>
      <c r="H20" s="82">
        <f>IF(H11=0,0,(IF(H11&gt;=100,tab!H10,tab!H9)))</f>
        <v>109322.82134058299</v>
      </c>
      <c r="I20" s="82">
        <f>IF(I11=0,0,(IF(I11&gt;=100,tab!I10,tab!I9)))</f>
        <v>109322.82134058299</v>
      </c>
      <c r="J20" s="82">
        <f>IF(J11=0,0,(IF(J11&gt;=100,tab!J10,tab!J9)))</f>
        <v>109322.82134058299</v>
      </c>
      <c r="K20" s="25"/>
    </row>
    <row r="21" spans="2:14" x14ac:dyDescent="0.3">
      <c r="B21" s="24"/>
      <c r="E21" s="182">
        <f t="shared" ref="E21:J21" si="2">SUM(E19:E20)</f>
        <v>1327949.43</v>
      </c>
      <c r="F21" s="182">
        <f t="shared" si="2"/>
        <v>1327747.7144815831</v>
      </c>
      <c r="G21" s="182">
        <f t="shared" si="2"/>
        <v>1327747.7144815831</v>
      </c>
      <c r="H21" s="182">
        <f t="shared" si="2"/>
        <v>1327747.7144815831</v>
      </c>
      <c r="I21" s="182">
        <f t="shared" si="2"/>
        <v>1327747.7144815831</v>
      </c>
      <c r="J21" s="182">
        <f t="shared" si="2"/>
        <v>1327747.7144815831</v>
      </c>
      <c r="K21" s="25"/>
      <c r="N21" s="62"/>
    </row>
    <row r="22" spans="2:14" x14ac:dyDescent="0.3">
      <c r="B22" s="24"/>
      <c r="C22" s="3" t="s">
        <v>32</v>
      </c>
      <c r="D22" s="3"/>
      <c r="E22" s="82"/>
      <c r="F22" s="82"/>
      <c r="G22" s="82"/>
      <c r="H22" s="82"/>
      <c r="I22" s="82"/>
      <c r="J22" s="82"/>
      <c r="K22" s="25"/>
    </row>
    <row r="23" spans="2:14" x14ac:dyDescent="0.3">
      <c r="B23" s="24"/>
      <c r="C23" s="1" t="s">
        <v>33</v>
      </c>
      <c r="E23" s="82">
        <f>IF(E11=0,0,(IF(tab!E11-(E11*tab!E12)&lt;0,0,(tab!E11-(E11*tab!E12)))))</f>
        <v>0</v>
      </c>
      <c r="F23" s="82">
        <f>IF(F11=0,0,(IF(tab!F11-(F11*tab!F12)&lt;0,0,(tab!F11-(F11*tab!F12)))))</f>
        <v>0</v>
      </c>
      <c r="G23" s="82">
        <f>IF(G11=0,0,(IF(tab!G11-(G11*tab!G12)&lt;0,0,(tab!G11-(G11*tab!G12)))))</f>
        <v>0</v>
      </c>
      <c r="H23" s="82">
        <f>IF(H11=0,0,(IF(tab!H11-(H11*tab!H12)&lt;0,0,(tab!H11-(H11*tab!H12)))))</f>
        <v>0</v>
      </c>
      <c r="I23" s="82">
        <f>IF(I11=0,0,(IF(tab!I11-(I11*tab!I12)&lt;0,0,(tab!I11-(I11*tab!I12)))))</f>
        <v>0</v>
      </c>
      <c r="J23" s="82">
        <f>IF(J11=0,0,(IF(tab!J11-(J11*tab!J12)&lt;0,0,(tab!J11-(J11*tab!J12)))))</f>
        <v>0</v>
      </c>
      <c r="K23" s="25"/>
    </row>
    <row r="24" spans="2:14" x14ac:dyDescent="0.3">
      <c r="B24" s="24"/>
      <c r="C24" s="1" t="s">
        <v>34</v>
      </c>
      <c r="E24" s="82">
        <f>IF(E11=0,0,(IF(tab!E13-(E19+E20+E23+E25)&lt;0,0,tab!E13-(E19+E20+E23+E25))))</f>
        <v>0</v>
      </c>
      <c r="F24" s="82">
        <f>IF(F11=0,0,(IF(tab!F13-(F19+F20+F23+F25)&lt;0,0,tab!F13-(F19+F20+F23+F25))))</f>
        <v>0</v>
      </c>
      <c r="G24" s="82">
        <f>IF(G11=0,0,(IF(tab!G13-(G19+G20+G23+G25)&lt;0,0,tab!G13-(G19+G20+G23+G25))))</f>
        <v>0</v>
      </c>
      <c r="H24" s="82">
        <f>IF(H11=0,0,(IF(tab!H13-(H19+H20+H23+H25)&lt;0,0,tab!H13-(H19+H20+H23+H25))))</f>
        <v>0</v>
      </c>
      <c r="I24" s="82">
        <f>IF(I11=0,0,(IF(tab!I13-(I19+I20+I23+I25)&lt;0,0,tab!I13-(I19+I20+I23+I25))))</f>
        <v>0</v>
      </c>
      <c r="J24" s="82">
        <f>IF(J11=0,0,(IF(tab!J13-(J19+J20+J23+J25)&lt;0,0,tab!J13-(J19+J20+J23+J25))))</f>
        <v>0</v>
      </c>
      <c r="K24" s="25"/>
    </row>
    <row r="25" spans="2:14" x14ac:dyDescent="0.3">
      <c r="B25" s="24"/>
      <c r="C25" s="1" t="s">
        <v>35</v>
      </c>
      <c r="E25" s="82">
        <f t="shared" ref="E25:J25" si="3">IF(E13=0,0,E30+E31)</f>
        <v>118149.38999999998</v>
      </c>
      <c r="F25" s="82">
        <f t="shared" si="3"/>
        <v>118131.44310765903</v>
      </c>
      <c r="G25" s="82">
        <f t="shared" si="3"/>
        <v>118131.44310765903</v>
      </c>
      <c r="H25" s="82">
        <f t="shared" si="3"/>
        <v>118131.44310765903</v>
      </c>
      <c r="I25" s="82">
        <f t="shared" si="3"/>
        <v>118131.44310765903</v>
      </c>
      <c r="J25" s="82">
        <f t="shared" si="3"/>
        <v>118131.44310765903</v>
      </c>
      <c r="K25" s="25"/>
    </row>
    <row r="26" spans="2:14" s="49" customFormat="1" hidden="1" x14ac:dyDescent="0.3">
      <c r="B26" s="183"/>
      <c r="C26" s="184" t="s">
        <v>36</v>
      </c>
      <c r="D26" s="185"/>
      <c r="E26" s="186">
        <f>IF((E11-E13-E14)&lt;150,tab!E$11-((E11-E13-E14)*tab!E$12),0)</f>
        <v>82355.549999999988</v>
      </c>
      <c r="F26" s="186">
        <f>IF((F11-F13-F14)&lt;150,tab!F$11-((F11-F13-F14)*tab!F$12),0)</f>
        <v>82343.04019195502</v>
      </c>
      <c r="G26" s="186">
        <f>IF((G11-G13-G14)&lt;150,tab!G$11-((G11-G13-G14)*tab!G$12),0)</f>
        <v>82343.04019195502</v>
      </c>
      <c r="H26" s="186">
        <f>IF((H11-H13-H14)&lt;150,tab!H$11-((H11-H13-H14)*tab!H$12),0)</f>
        <v>82343.04019195502</v>
      </c>
      <c r="I26" s="186">
        <f>IF((I11-I13-I14)&lt;150,tab!I$11-((I11-I13-I14)*tab!I$12),0)</f>
        <v>82343.04019195502</v>
      </c>
      <c r="J26" s="186">
        <f>IF((J11-J13-J14)&lt;150,tab!J$11-((J11-J13-J14)*tab!J$12),0)</f>
        <v>82343.04019195502</v>
      </c>
      <c r="K26" s="187"/>
    </row>
    <row r="27" spans="2:14" s="49" customFormat="1" hidden="1" x14ac:dyDescent="0.3">
      <c r="B27" s="183"/>
      <c r="C27" s="184" t="s">
        <v>37</v>
      </c>
      <c r="D27" s="185"/>
      <c r="E27" s="186">
        <f>IF(E13=0,0,IF(E13&lt;150,tab!E$11-(E13*tab!E$12),0))</f>
        <v>82355.549999999988</v>
      </c>
      <c r="F27" s="186">
        <f>IF(F13=0,0,IF(F13&lt;150,tab!F$11-(F13*tab!F$12),0))</f>
        <v>82343.04019195502</v>
      </c>
      <c r="G27" s="186">
        <f>IF(G13=0,0,IF(G13&lt;150,tab!G$11-(G13*tab!G$12),0))</f>
        <v>82343.04019195502</v>
      </c>
      <c r="H27" s="186">
        <f>IF(H13=0,0,IF(H13&lt;150,tab!H$11-(H13*tab!H$12),0))</f>
        <v>82343.04019195502</v>
      </c>
      <c r="I27" s="186">
        <f>IF(I13=0,0,IF(I13&lt;150,tab!I$11-(I13*tab!I$12),0))</f>
        <v>82343.04019195502</v>
      </c>
      <c r="J27" s="186">
        <f>IF(J13=0,0,IF(J13&lt;150,tab!J$11-(J13*tab!J$12),0))</f>
        <v>82343.04019195502</v>
      </c>
      <c r="K27" s="187"/>
    </row>
    <row r="28" spans="2:14" s="49" customFormat="1" hidden="1" x14ac:dyDescent="0.3">
      <c r="B28" s="183"/>
      <c r="C28" s="184" t="s">
        <v>38</v>
      </c>
      <c r="D28" s="185"/>
      <c r="E28" s="186">
        <f>IF(E14=0,0,IF(E14&lt;150,tab!E$11-(E14*tab!E$12),0))</f>
        <v>0</v>
      </c>
      <c r="F28" s="186">
        <f>IF(F14=0,0,IF(F14&lt;150,tab!F$11-(F14*tab!F$12),0))</f>
        <v>0</v>
      </c>
      <c r="G28" s="186">
        <f>IF(G14=0,0,IF(G14&lt;150,tab!G$11-(G14*tab!G$12),0))</f>
        <v>0</v>
      </c>
      <c r="H28" s="186">
        <f>IF(H14=0,0,IF(H14&lt;150,tab!H$11-(H14*tab!H$12),0))</f>
        <v>0</v>
      </c>
      <c r="I28" s="186">
        <f>IF(I14=0,0,IF(I14&lt;150,tab!I$11-(I14*tab!I$12),0))</f>
        <v>0</v>
      </c>
      <c r="J28" s="186">
        <f>IF(J14=0,0,IF(J14&lt;150,tab!J$11-(J14*tab!J$12),0))</f>
        <v>0</v>
      </c>
      <c r="K28" s="187"/>
    </row>
    <row r="29" spans="2:14" s="49" customFormat="1" hidden="1" x14ac:dyDescent="0.3">
      <c r="B29" s="183"/>
      <c r="C29" s="184" t="s">
        <v>39</v>
      </c>
      <c r="D29" s="185"/>
      <c r="E29" s="186">
        <f t="shared" ref="E29:J29" si="4">E23</f>
        <v>0</v>
      </c>
      <c r="F29" s="186">
        <f t="shared" si="4"/>
        <v>0</v>
      </c>
      <c r="G29" s="186">
        <f t="shared" si="4"/>
        <v>0</v>
      </c>
      <c r="H29" s="186">
        <f t="shared" si="4"/>
        <v>0</v>
      </c>
      <c r="I29" s="186">
        <f t="shared" si="4"/>
        <v>0</v>
      </c>
      <c r="J29" s="186">
        <f t="shared" si="4"/>
        <v>0</v>
      </c>
      <c r="K29" s="187"/>
    </row>
    <row r="30" spans="2:14" s="49" customFormat="1" hidden="1" x14ac:dyDescent="0.3">
      <c r="B30" s="183"/>
      <c r="C30" s="184" t="s">
        <v>40</v>
      </c>
      <c r="D30" s="185"/>
      <c r="E30" s="186">
        <f t="shared" ref="E30:J30" si="5">(SUM(E26:E28)-E29)*60%</f>
        <v>98826.659999999989</v>
      </c>
      <c r="F30" s="186">
        <f t="shared" si="5"/>
        <v>98811.648230346022</v>
      </c>
      <c r="G30" s="186">
        <f t="shared" si="5"/>
        <v>98811.648230346022</v>
      </c>
      <c r="H30" s="186">
        <f t="shared" si="5"/>
        <v>98811.648230346022</v>
      </c>
      <c r="I30" s="186">
        <f t="shared" si="5"/>
        <v>98811.648230346022</v>
      </c>
      <c r="J30" s="186">
        <f t="shared" si="5"/>
        <v>98811.648230346022</v>
      </c>
      <c r="K30" s="187"/>
    </row>
    <row r="31" spans="2:14" s="49" customFormat="1" hidden="1" x14ac:dyDescent="0.3">
      <c r="B31" s="183"/>
      <c r="C31" s="184" t="s">
        <v>41</v>
      </c>
      <c r="D31" s="185"/>
      <c r="E31" s="186">
        <f>IF(E14&gt;0,(tab!E14*2),tab!E14)</f>
        <v>19322.73</v>
      </c>
      <c r="F31" s="186">
        <f>IF(F14&gt;0,(tab!F14*2),tab!F14)</f>
        <v>19319.794877313001</v>
      </c>
      <c r="G31" s="186">
        <f>IF(G14&gt;0,(tab!G14*2),tab!G14)</f>
        <v>19319.794877313001</v>
      </c>
      <c r="H31" s="186">
        <f>IF(H14&gt;0,(tab!H14*2),tab!H14)</f>
        <v>19319.794877313001</v>
      </c>
      <c r="I31" s="186">
        <f>IF(I14&gt;0,(tab!I14*2),tab!I14)</f>
        <v>19319.794877313001</v>
      </c>
      <c r="J31" s="186">
        <f>IF(J14&gt;0,(tab!J14*2),tab!J14)</f>
        <v>19319.794877313001</v>
      </c>
      <c r="K31" s="187"/>
    </row>
    <row r="32" spans="2:14" x14ac:dyDescent="0.3">
      <c r="B32" s="24"/>
      <c r="C32" s="1" t="s">
        <v>42</v>
      </c>
      <c r="E32" s="82">
        <f>tab!E15*E12</f>
        <v>0</v>
      </c>
      <c r="F32" s="82">
        <f>tab!F15*F12</f>
        <v>0</v>
      </c>
      <c r="G32" s="82">
        <f>tab!G15*G12</f>
        <v>0</v>
      </c>
      <c r="H32" s="82">
        <f>tab!H15*H12</f>
        <v>0</v>
      </c>
      <c r="I32" s="82">
        <f>tab!I15*I12</f>
        <v>0</v>
      </c>
      <c r="J32" s="82">
        <f>tab!J15*J12</f>
        <v>0</v>
      </c>
      <c r="K32" s="25"/>
    </row>
    <row r="33" spans="2:16" x14ac:dyDescent="0.3">
      <c r="B33" s="24"/>
      <c r="C33" s="1" t="s">
        <v>43</v>
      </c>
      <c r="E33" s="82">
        <f>IF(E15=0,0,(tab!E16+(tab!E17*E15)))</f>
        <v>582.54999999999995</v>
      </c>
      <c r="F33" s="82">
        <f>IF(F15=0,0,(tab!F16+(tab!F17*F15)))</f>
        <v>582.46151065499998</v>
      </c>
      <c r="G33" s="82">
        <f>IF(G15=0,0,(tab!G16+(tab!G17*G15)))</f>
        <v>582.46151065499998</v>
      </c>
      <c r="H33" s="82">
        <f>IF(H15=0,0,(tab!H16+(tab!H17*H15)))</f>
        <v>582.46151065499998</v>
      </c>
      <c r="I33" s="82">
        <f>IF(I15=0,0,(tab!I16+(tab!I17*I15)))</f>
        <v>582.46151065499998</v>
      </c>
      <c r="J33" s="82">
        <f>IF(J15=0,0,(tab!J16+(tab!J17*J15)))</f>
        <v>582.46151065499998</v>
      </c>
      <c r="K33" s="25"/>
    </row>
    <row r="34" spans="2:16" x14ac:dyDescent="0.3">
      <c r="B34" s="24"/>
      <c r="C34" s="1" t="s">
        <v>44</v>
      </c>
      <c r="E34" s="82">
        <f>(IF(E16&gt;0,tab!E18,0)+(E16*tab!E19))</f>
        <v>0</v>
      </c>
      <c r="F34" s="82">
        <f>(IF(F16&gt;0,tab!F18,0)+(F16*tab!F19))</f>
        <v>0</v>
      </c>
      <c r="G34" s="82">
        <f>(IF(G16&gt;0,tab!G18,0)+(G16*tab!G19))</f>
        <v>0</v>
      </c>
      <c r="H34" s="82">
        <f>(IF(H16&gt;0,tab!H18,0)+(H16*tab!H19))</f>
        <v>0</v>
      </c>
      <c r="I34" s="82">
        <f>(IF(I16&gt;0,tab!I18,0)+(I16*tab!I19))</f>
        <v>0</v>
      </c>
      <c r="J34" s="82">
        <f>(IF(J16&gt;0,tab!J18,0)+(J16*tab!J19))</f>
        <v>0</v>
      </c>
      <c r="K34" s="25"/>
    </row>
    <row r="35" spans="2:16" x14ac:dyDescent="0.3">
      <c r="B35" s="24"/>
      <c r="C35" s="1" t="s">
        <v>45</v>
      </c>
      <c r="E35" s="82">
        <v>0</v>
      </c>
      <c r="F35" s="83">
        <v>0</v>
      </c>
      <c r="G35" s="83">
        <v>0</v>
      </c>
      <c r="H35" s="83">
        <v>0</v>
      </c>
      <c r="I35" s="83">
        <v>0</v>
      </c>
      <c r="J35" s="83">
        <v>0</v>
      </c>
      <c r="K35" s="25"/>
    </row>
    <row r="36" spans="2:16" x14ac:dyDescent="0.3">
      <c r="B36" s="24"/>
      <c r="C36" s="150" t="s">
        <v>46</v>
      </c>
      <c r="E36" s="82">
        <f>E11*tab!E89</f>
        <v>20006</v>
      </c>
      <c r="F36" s="83">
        <f>F11*tab!F89</f>
        <v>20006</v>
      </c>
      <c r="G36" s="83">
        <f>G11*tab!G89</f>
        <v>0</v>
      </c>
      <c r="H36" s="83">
        <f>H11*tab!H89</f>
        <v>0</v>
      </c>
      <c r="I36" s="83">
        <f>I11*tab!I89</f>
        <v>0</v>
      </c>
      <c r="J36" s="83">
        <f>J11*tab!J89</f>
        <v>0</v>
      </c>
      <c r="K36" s="25"/>
    </row>
    <row r="37" spans="2:16" x14ac:dyDescent="0.3">
      <c r="B37" s="24"/>
      <c r="C37" s="61"/>
      <c r="E37" s="82">
        <v>0</v>
      </c>
      <c r="F37" s="83">
        <v>0</v>
      </c>
      <c r="G37" s="83">
        <v>0</v>
      </c>
      <c r="H37" s="83">
        <v>0</v>
      </c>
      <c r="I37" s="83">
        <v>0</v>
      </c>
      <c r="J37" s="83">
        <v>0</v>
      </c>
      <c r="K37" s="25"/>
    </row>
    <row r="38" spans="2:16" x14ac:dyDescent="0.3">
      <c r="B38" s="24"/>
      <c r="C38" s="61"/>
      <c r="E38" s="82"/>
      <c r="F38" s="82"/>
      <c r="G38" s="82">
        <f>G11*tab!G89</f>
        <v>0</v>
      </c>
      <c r="H38" s="82">
        <f>H11*tab!H89</f>
        <v>0</v>
      </c>
      <c r="I38" s="82">
        <f>I11*tab!I89</f>
        <v>0</v>
      </c>
      <c r="J38" s="82">
        <f>J11*tab!J89</f>
        <v>0</v>
      </c>
      <c r="K38" s="188"/>
      <c r="L38" s="8"/>
      <c r="M38" s="8"/>
      <c r="N38" s="8"/>
      <c r="O38" s="8"/>
      <c r="P38" s="8"/>
    </row>
    <row r="39" spans="2:16" x14ac:dyDescent="0.3">
      <c r="B39" s="24"/>
      <c r="E39" s="182">
        <f t="shared" ref="E39:J39" si="6">E23+E24+E25+SUM(E32:E38)</f>
        <v>138737.93999999997</v>
      </c>
      <c r="F39" s="182">
        <f t="shared" si="6"/>
        <v>138719.90461831403</v>
      </c>
      <c r="G39" s="182">
        <f t="shared" si="6"/>
        <v>118713.90461831403</v>
      </c>
      <c r="H39" s="182">
        <f t="shared" si="6"/>
        <v>118713.90461831403</v>
      </c>
      <c r="I39" s="182">
        <f t="shared" si="6"/>
        <v>118713.90461831403</v>
      </c>
      <c r="J39" s="182">
        <f t="shared" si="6"/>
        <v>118713.90461831403</v>
      </c>
      <c r="K39" s="25"/>
    </row>
    <row r="40" spans="2:16" x14ac:dyDescent="0.3">
      <c r="B40" s="24"/>
      <c r="C40" s="3" t="s">
        <v>47</v>
      </c>
      <c r="E40" s="82"/>
      <c r="F40" s="82"/>
      <c r="G40" s="2"/>
      <c r="H40" s="2"/>
      <c r="I40" s="2"/>
      <c r="J40" s="2"/>
      <c r="K40" s="25"/>
    </row>
    <row r="41" spans="2:16" x14ac:dyDescent="0.3">
      <c r="B41" s="24"/>
      <c r="C41" s="58" t="s">
        <v>48</v>
      </c>
      <c r="E41" s="82">
        <v>0</v>
      </c>
      <c r="F41" s="83">
        <v>0</v>
      </c>
      <c r="G41" s="83">
        <v>0</v>
      </c>
      <c r="H41" s="83">
        <v>0</v>
      </c>
      <c r="I41" s="83">
        <v>0</v>
      </c>
      <c r="J41" s="83">
        <v>0</v>
      </c>
      <c r="K41" s="25"/>
    </row>
    <row r="42" spans="2:16" x14ac:dyDescent="0.3">
      <c r="B42" s="24"/>
      <c r="C42" s="60"/>
      <c r="E42" s="82">
        <v>0</v>
      </c>
      <c r="F42" s="83">
        <v>0</v>
      </c>
      <c r="G42" s="83">
        <v>0</v>
      </c>
      <c r="H42" s="83">
        <v>0</v>
      </c>
      <c r="I42" s="83">
        <v>0</v>
      </c>
      <c r="J42" s="83">
        <v>0</v>
      </c>
      <c r="K42" s="25"/>
    </row>
    <row r="43" spans="2:16" x14ac:dyDescent="0.3">
      <c r="B43" s="24"/>
      <c r="C43" s="60"/>
      <c r="E43" s="82">
        <v>0</v>
      </c>
      <c r="F43" s="83">
        <v>0</v>
      </c>
      <c r="G43" s="83">
        <v>0</v>
      </c>
      <c r="H43" s="83">
        <v>0</v>
      </c>
      <c r="I43" s="83">
        <v>0</v>
      </c>
      <c r="J43" s="83">
        <v>0</v>
      </c>
      <c r="K43" s="25"/>
    </row>
    <row r="44" spans="2:16" x14ac:dyDescent="0.3">
      <c r="B44" s="24"/>
      <c r="C44" s="60"/>
      <c r="E44" s="82">
        <v>0</v>
      </c>
      <c r="F44" s="83">
        <v>0</v>
      </c>
      <c r="G44" s="83">
        <v>0</v>
      </c>
      <c r="H44" s="83">
        <v>0</v>
      </c>
      <c r="I44" s="83">
        <v>0</v>
      </c>
      <c r="J44" s="83">
        <v>0</v>
      </c>
      <c r="K44" s="25"/>
    </row>
    <row r="45" spans="2:16" x14ac:dyDescent="0.3">
      <c r="B45" s="24"/>
      <c r="C45" s="60"/>
      <c r="E45" s="82">
        <v>0</v>
      </c>
      <c r="F45" s="83">
        <v>0</v>
      </c>
      <c r="G45" s="83">
        <v>0</v>
      </c>
      <c r="H45" s="83">
        <v>0</v>
      </c>
      <c r="I45" s="83">
        <v>0</v>
      </c>
      <c r="J45" s="83">
        <v>0</v>
      </c>
      <c r="K45" s="25"/>
    </row>
    <row r="46" spans="2:16" x14ac:dyDescent="0.3">
      <c r="B46" s="24"/>
      <c r="E46" s="82">
        <f t="shared" ref="E46:J46" si="7">SUM(E41:E45)</f>
        <v>0</v>
      </c>
      <c r="F46" s="189">
        <f t="shared" si="7"/>
        <v>0</v>
      </c>
      <c r="G46" s="189">
        <f t="shared" si="7"/>
        <v>0</v>
      </c>
      <c r="H46" s="189">
        <f t="shared" si="7"/>
        <v>0</v>
      </c>
      <c r="I46" s="189">
        <f t="shared" si="7"/>
        <v>0</v>
      </c>
      <c r="J46" s="189">
        <f t="shared" si="7"/>
        <v>0</v>
      </c>
      <c r="K46" s="25"/>
    </row>
    <row r="47" spans="2:16" x14ac:dyDescent="0.3">
      <c r="B47" s="24"/>
      <c r="E47" s="2"/>
      <c r="G47" s="2"/>
      <c r="H47" s="2"/>
      <c r="I47" s="2"/>
      <c r="J47" s="2"/>
      <c r="K47" s="25"/>
    </row>
    <row r="48" spans="2:16" x14ac:dyDescent="0.3">
      <c r="B48" s="24"/>
      <c r="C48" s="3" t="s">
        <v>49</v>
      </c>
      <c r="D48" s="3"/>
      <c r="E48" s="203">
        <f t="shared" ref="E48:J48" si="8">E21+E39+E46</f>
        <v>1466687.3699999999</v>
      </c>
      <c r="F48" s="203">
        <f t="shared" si="8"/>
        <v>1466467.6190998971</v>
      </c>
      <c r="G48" s="203">
        <f t="shared" si="8"/>
        <v>1446461.6190998971</v>
      </c>
      <c r="H48" s="203">
        <f t="shared" si="8"/>
        <v>1446461.6190998971</v>
      </c>
      <c r="I48" s="203">
        <f t="shared" si="8"/>
        <v>1446461.6190998971</v>
      </c>
      <c r="J48" s="203">
        <f t="shared" si="8"/>
        <v>1446461.6190998971</v>
      </c>
      <c r="K48" s="25"/>
      <c r="N48" s="78"/>
    </row>
    <row r="49" spans="2:20" x14ac:dyDescent="0.3">
      <c r="B49" s="24"/>
      <c r="C49" s="3"/>
      <c r="D49" s="3"/>
      <c r="E49" s="3"/>
      <c r="F49" s="189"/>
      <c r="G49" s="189"/>
      <c r="H49" s="189"/>
      <c r="I49" s="189"/>
      <c r="J49" s="189"/>
      <c r="K49" s="25"/>
    </row>
    <row r="50" spans="2:20" x14ac:dyDescent="0.3">
      <c r="B50" s="24"/>
      <c r="C50" s="3"/>
      <c r="D50" s="3"/>
      <c r="E50" s="3"/>
      <c r="F50" s="189"/>
      <c r="G50" s="189"/>
      <c r="H50" s="189"/>
      <c r="I50" s="189"/>
      <c r="J50" s="189"/>
      <c r="K50" s="25"/>
    </row>
    <row r="51" spans="2:20" ht="14.4" x14ac:dyDescent="0.3">
      <c r="B51" s="24"/>
      <c r="C51" s="225" t="s">
        <v>50</v>
      </c>
      <c r="E51" s="135"/>
      <c r="F51" s="1"/>
      <c r="K51" s="25"/>
    </row>
    <row r="52" spans="2:20" x14ac:dyDescent="0.3">
      <c r="B52" s="24"/>
      <c r="C52" s="3"/>
      <c r="F52" s="1"/>
      <c r="K52" s="25"/>
    </row>
    <row r="53" spans="2:20" x14ac:dyDescent="0.3">
      <c r="B53" s="24"/>
      <c r="C53" s="1" t="s">
        <v>51</v>
      </c>
      <c r="E53" s="204">
        <v>100</v>
      </c>
      <c r="F53" s="1"/>
      <c r="G53" s="86" t="s">
        <v>52</v>
      </c>
      <c r="H53" s="87"/>
      <c r="I53" s="87"/>
      <c r="J53" s="87" t="s">
        <v>53</v>
      </c>
      <c r="K53" s="190" t="s">
        <v>54</v>
      </c>
      <c r="N53" s="8" t="s">
        <v>55</v>
      </c>
      <c r="O53" s="8"/>
      <c r="P53" s="8"/>
      <c r="Q53" s="8"/>
      <c r="R53" s="8"/>
      <c r="S53" s="8"/>
      <c r="T53" s="8"/>
    </row>
    <row r="54" spans="2:20" x14ac:dyDescent="0.3">
      <c r="B54" s="24"/>
      <c r="C54" s="1" t="s">
        <v>56</v>
      </c>
      <c r="E54" s="204">
        <v>101</v>
      </c>
      <c r="F54" s="1"/>
      <c r="G54" s="86" t="s">
        <v>52</v>
      </c>
      <c r="H54" s="87"/>
      <c r="I54" s="87"/>
      <c r="J54" s="87" t="s">
        <v>57</v>
      </c>
      <c r="K54" s="190" t="s">
        <v>58</v>
      </c>
      <c r="M54" s="8"/>
      <c r="N54" s="8" t="s">
        <v>55</v>
      </c>
      <c r="O54" s="8"/>
      <c r="P54" s="8"/>
      <c r="Q54" s="8"/>
      <c r="R54" s="8"/>
      <c r="S54" s="8"/>
      <c r="T54" s="8"/>
    </row>
    <row r="55" spans="2:20" x14ac:dyDescent="0.3">
      <c r="B55" s="24"/>
      <c r="F55" s="36"/>
      <c r="G55" s="132"/>
      <c r="H55" s="132"/>
      <c r="I55" s="36"/>
      <c r="J55" s="36"/>
      <c r="K55" s="190"/>
      <c r="M55" s="50"/>
    </row>
    <row r="56" spans="2:20" x14ac:dyDescent="0.3">
      <c r="B56" s="24"/>
      <c r="C56" s="1" t="s">
        <v>59</v>
      </c>
      <c r="D56" s="16"/>
      <c r="E56" s="191">
        <f>E21+E23+E24+E25+E32+E33</f>
        <v>1446681.3699999999</v>
      </c>
      <c r="F56" s="115"/>
      <c r="G56" s="115"/>
      <c r="H56" s="115"/>
      <c r="I56" s="115"/>
      <c r="J56" s="115"/>
      <c r="K56" s="190" t="s">
        <v>60</v>
      </c>
      <c r="M56" s="50"/>
    </row>
    <row r="57" spans="2:20" x14ac:dyDescent="0.3">
      <c r="B57" s="24"/>
      <c r="C57" s="1" t="s">
        <v>61</v>
      </c>
      <c r="D57" s="16"/>
      <c r="E57" s="192">
        <f>E11</f>
        <v>200</v>
      </c>
      <c r="F57" s="116"/>
      <c r="G57" s="116"/>
      <c r="H57" s="116"/>
      <c r="I57" s="115"/>
      <c r="J57" s="115"/>
      <c r="K57" s="190" t="s">
        <v>62</v>
      </c>
      <c r="M57" s="50"/>
    </row>
    <row r="58" spans="2:20" x14ac:dyDescent="0.3">
      <c r="B58" s="24"/>
      <c r="C58" s="16"/>
      <c r="D58" s="16"/>
      <c r="E58" s="16"/>
      <c r="F58" s="116"/>
      <c r="G58" s="116"/>
      <c r="H58" s="116"/>
      <c r="I58" s="115"/>
      <c r="J58" s="115"/>
      <c r="K58" s="190"/>
      <c r="M58" s="50"/>
    </row>
    <row r="59" spans="2:20" x14ac:dyDescent="0.3">
      <c r="B59" s="24"/>
      <c r="C59" s="16" t="s">
        <v>63</v>
      </c>
      <c r="D59" s="16"/>
      <c r="E59" s="117">
        <f>E21+E23+E24+E25+E32+E33</f>
        <v>1446681.3699999999</v>
      </c>
      <c r="F59" s="117">
        <f>(F21+F23+F24+F25+F32+F33)</f>
        <v>1446461.6190998971</v>
      </c>
      <c r="G59" s="117">
        <f>(G21+G23+G24+G25+G32+G33)</f>
        <v>1446461.6190998971</v>
      </c>
      <c r="H59" s="117"/>
      <c r="I59" s="115"/>
      <c r="J59" s="115"/>
      <c r="K59" s="190" t="s">
        <v>64</v>
      </c>
      <c r="M59" s="50"/>
    </row>
    <row r="60" spans="2:20" x14ac:dyDescent="0.3">
      <c r="B60" s="24"/>
      <c r="C60" s="16" t="s">
        <v>65</v>
      </c>
      <c r="D60" s="16"/>
      <c r="E60" s="118">
        <f>E11</f>
        <v>200</v>
      </c>
      <c r="F60" s="118">
        <f>F11</f>
        <v>200</v>
      </c>
      <c r="G60" s="118">
        <f>G11</f>
        <v>200</v>
      </c>
      <c r="H60" s="118"/>
      <c r="I60" s="115"/>
      <c r="J60" s="115"/>
      <c r="K60" s="190" t="s">
        <v>66</v>
      </c>
      <c r="M60" s="50"/>
    </row>
    <row r="61" spans="2:20" x14ac:dyDescent="0.3">
      <c r="B61" s="24"/>
      <c r="C61" s="16"/>
      <c r="D61" s="16"/>
      <c r="E61" s="16"/>
      <c r="F61" s="116"/>
      <c r="G61" s="116"/>
      <c r="H61" s="116"/>
      <c r="I61" s="115"/>
      <c r="J61" s="115"/>
      <c r="K61" s="190"/>
      <c r="M61" s="50"/>
    </row>
    <row r="62" spans="2:20" x14ac:dyDescent="0.3">
      <c r="B62" s="24"/>
      <c r="C62" s="16" t="s">
        <v>67</v>
      </c>
      <c r="D62" s="16"/>
      <c r="E62" s="117">
        <f>E59/E60</f>
        <v>7233.4068499999994</v>
      </c>
      <c r="F62" s="117">
        <f>F59/F60</f>
        <v>7232.3080954994857</v>
      </c>
      <c r="G62" s="117">
        <f>G59/G60</f>
        <v>7232.3080954994857</v>
      </c>
      <c r="H62" s="114"/>
      <c r="I62" s="193" t="s">
        <v>68</v>
      </c>
      <c r="J62" s="115"/>
      <c r="K62" s="190" t="s">
        <v>69</v>
      </c>
      <c r="M62" s="50"/>
    </row>
    <row r="63" spans="2:20" x14ac:dyDescent="0.3">
      <c r="B63" s="24"/>
      <c r="C63" s="16" t="s">
        <v>70</v>
      </c>
      <c r="D63" s="16"/>
      <c r="E63" s="117">
        <f>(($E$53/$E$54*E56)/E57)</f>
        <v>7161.7889603960384</v>
      </c>
      <c r="F63" s="117">
        <f>E63*(1+tab!F85)</f>
        <v>7173.2478227326728</v>
      </c>
      <c r="G63" s="117">
        <f>E63*(1+tab!G85)</f>
        <v>7173.2478227326728</v>
      </c>
      <c r="H63" s="114"/>
      <c r="I63" s="133" t="s">
        <v>71</v>
      </c>
      <c r="J63" s="115"/>
      <c r="K63" s="190" t="s">
        <v>72</v>
      </c>
      <c r="M63" s="51"/>
      <c r="N63" s="173"/>
    </row>
    <row r="64" spans="2:20" x14ac:dyDescent="0.3">
      <c r="B64" s="24"/>
      <c r="C64" s="16" t="s">
        <v>73</v>
      </c>
      <c r="D64" s="16"/>
      <c r="E64" s="194">
        <f>tab!E81</f>
        <v>0.75</v>
      </c>
      <c r="F64" s="119">
        <f>tab!F81</f>
        <v>0.5</v>
      </c>
      <c r="G64" s="119">
        <f>tab!G81</f>
        <v>0.25</v>
      </c>
      <c r="H64" s="119"/>
      <c r="I64" s="134"/>
      <c r="J64" s="120"/>
      <c r="K64" s="190" t="s">
        <v>74</v>
      </c>
      <c r="M64" s="2"/>
      <c r="N64" s="173"/>
    </row>
    <row r="65" spans="2:19" x14ac:dyDescent="0.3">
      <c r="B65" s="24"/>
      <c r="C65" s="16"/>
      <c r="D65" s="16"/>
      <c r="E65" s="16"/>
      <c r="F65" s="121"/>
      <c r="G65" s="121"/>
      <c r="H65" s="121"/>
      <c r="I65" s="134"/>
      <c r="J65" s="120"/>
      <c r="K65" s="195"/>
      <c r="M65" s="2"/>
      <c r="N65" s="174"/>
    </row>
    <row r="66" spans="2:19" x14ac:dyDescent="0.3">
      <c r="B66" s="24"/>
      <c r="C66" s="16" t="s">
        <v>75</v>
      </c>
      <c r="D66" s="16"/>
      <c r="E66" s="115">
        <f>(E63-E62)*E60</f>
        <v>-14323.577920792195</v>
      </c>
      <c r="F66" s="115">
        <f>(F63-F62)*F60</f>
        <v>-11812.054553362577</v>
      </c>
      <c r="G66" s="115">
        <f>(G63-G62)*G60</f>
        <v>-11812.054553362577</v>
      </c>
      <c r="H66" s="115"/>
      <c r="I66" s="134" t="s">
        <v>76</v>
      </c>
      <c r="J66" s="120"/>
      <c r="K66" s="195"/>
      <c r="M66" s="2"/>
    </row>
    <row r="67" spans="2:19" x14ac:dyDescent="0.3">
      <c r="B67" s="24"/>
      <c r="C67" s="16" t="s">
        <v>77</v>
      </c>
      <c r="D67" s="16"/>
      <c r="E67" s="115">
        <f>(E63-E62)*E64*E60</f>
        <v>-10742.683440594146</v>
      </c>
      <c r="F67" s="115">
        <f>(F63-F62)*F64*F60</f>
        <v>-5906.0272766812886</v>
      </c>
      <c r="G67" s="115">
        <f>(G63-G62)*G64*G60</f>
        <v>-2953.0136383406443</v>
      </c>
      <c r="H67" s="115"/>
      <c r="I67" s="134" t="s">
        <v>78</v>
      </c>
      <c r="J67" s="120"/>
      <c r="K67" s="195"/>
      <c r="Q67" s="2"/>
      <c r="R67" s="2"/>
      <c r="S67" s="2"/>
    </row>
    <row r="68" spans="2:19" s="125" customFormat="1" hidden="1" x14ac:dyDescent="0.3">
      <c r="B68" s="196"/>
      <c r="C68" s="197" t="s">
        <v>79</v>
      </c>
      <c r="E68" s="126">
        <f>(((E62*E60)+E67)-(E63*E60))</f>
        <v>3580.8944801979233</v>
      </c>
      <c r="F68" s="126">
        <f>(((F62*F60)+F67)-(F63*F60))</f>
        <v>5906.0272766812705</v>
      </c>
      <c r="G68" s="126">
        <f>(((G62*G60)+G67)-(G63*G60))</f>
        <v>8859.0409150219057</v>
      </c>
      <c r="H68" s="126"/>
      <c r="I68" s="127"/>
      <c r="J68" s="127"/>
      <c r="K68" s="198"/>
      <c r="N68" s="1"/>
      <c r="O68" s="1"/>
    </row>
    <row r="69" spans="2:19" s="125" customFormat="1" hidden="1" x14ac:dyDescent="0.3">
      <c r="B69" s="196"/>
      <c r="C69" s="197" t="s">
        <v>80</v>
      </c>
      <c r="E69" s="128">
        <f>tab!E82</f>
        <v>-0.01</v>
      </c>
      <c r="F69" s="128">
        <f>tab!F82</f>
        <v>-0.02</v>
      </c>
      <c r="G69" s="128">
        <f>tab!G82</f>
        <v>-0.03</v>
      </c>
      <c r="H69" s="128"/>
      <c r="I69" s="127"/>
      <c r="J69" s="127"/>
      <c r="K69" s="198"/>
    </row>
    <row r="70" spans="2:19" s="125" customFormat="1" hidden="1" x14ac:dyDescent="0.3">
      <c r="B70" s="196"/>
      <c r="C70" s="197" t="s">
        <v>81</v>
      </c>
      <c r="E70" s="126">
        <f>(E63*E60)*E69</f>
        <v>-14323.577920792077</v>
      </c>
      <c r="F70" s="126">
        <f>(F63*F60)*F69</f>
        <v>-28692.991290930691</v>
      </c>
      <c r="G70" s="126">
        <f>(G63*G60)*G69</f>
        <v>-43039.486936396039</v>
      </c>
      <c r="H70" s="126"/>
      <c r="I70" s="127"/>
      <c r="J70" s="127"/>
      <c r="K70" s="198"/>
      <c r="M70" s="129"/>
    </row>
    <row r="71" spans="2:19" s="125" customFormat="1" hidden="1" x14ac:dyDescent="0.3">
      <c r="B71" s="196"/>
      <c r="C71" s="199" t="s">
        <v>82</v>
      </c>
      <c r="D71" s="130"/>
      <c r="E71" s="131">
        <f>IF(E68&gt;E70,0,((E68-E70)*-1))</f>
        <v>0</v>
      </c>
      <c r="F71" s="131">
        <f>IF(F68&gt;F70,0,((F68-F70)*-1))</f>
        <v>0</v>
      </c>
      <c r="G71" s="131">
        <f>IF(G68&gt;G70,0,((G68-G70)*-1))</f>
        <v>0</v>
      </c>
      <c r="H71" s="131"/>
      <c r="I71" s="127"/>
      <c r="J71" s="127"/>
      <c r="K71" s="198"/>
      <c r="M71" s="129"/>
    </row>
    <row r="72" spans="2:19" s="125" customFormat="1" hidden="1" x14ac:dyDescent="0.3">
      <c r="B72" s="196"/>
      <c r="C72" s="197" t="s">
        <v>83</v>
      </c>
      <c r="E72" s="128">
        <f>tab!E83</f>
        <v>0.01</v>
      </c>
      <c r="F72" s="128">
        <f>tab!F83</f>
        <v>0.02</v>
      </c>
      <c r="G72" s="128">
        <f>tab!G83</f>
        <v>0.03</v>
      </c>
      <c r="H72" s="128"/>
      <c r="I72" s="127"/>
      <c r="J72" s="127"/>
      <c r="K72" s="198"/>
      <c r="M72" s="129"/>
    </row>
    <row r="73" spans="2:19" s="125" customFormat="1" hidden="1" x14ac:dyDescent="0.3">
      <c r="B73" s="196"/>
      <c r="C73" s="197" t="s">
        <v>84</v>
      </c>
      <c r="E73" s="126">
        <f>(E63*E60)*E72</f>
        <v>14323.577920792077</v>
      </c>
      <c r="F73" s="126">
        <f>(F63*F60)*F72</f>
        <v>28692.991290930691</v>
      </c>
      <c r="G73" s="126">
        <f>(G63*G60)*G72</f>
        <v>43039.486936396039</v>
      </c>
      <c r="H73" s="126"/>
      <c r="I73" s="127"/>
      <c r="J73" s="127"/>
      <c r="K73" s="198"/>
      <c r="M73" s="129"/>
    </row>
    <row r="74" spans="2:19" s="125" customFormat="1" hidden="1" x14ac:dyDescent="0.3">
      <c r="B74" s="196"/>
      <c r="C74" s="199" t="s">
        <v>85</v>
      </c>
      <c r="D74" s="130"/>
      <c r="E74" s="131">
        <f>IF(E68&lt;E73,0,(E73-E68)*1)</f>
        <v>0</v>
      </c>
      <c r="F74" s="131">
        <f>IF(F68&lt;F73,0,(F73-F68)*1)</f>
        <v>0</v>
      </c>
      <c r="G74" s="131">
        <f>IF(G68&lt;G73,0,(G73-G68)*1)</f>
        <v>0</v>
      </c>
      <c r="H74" s="131"/>
      <c r="I74" s="127"/>
      <c r="J74" s="127"/>
      <c r="K74" s="198"/>
    </row>
    <row r="75" spans="2:19" x14ac:dyDescent="0.3">
      <c r="B75" s="24"/>
      <c r="C75" s="16" t="s">
        <v>86</v>
      </c>
      <c r="D75" s="16"/>
      <c r="E75" s="115">
        <f>IF(E74=0,E71,E74)</f>
        <v>0</v>
      </c>
      <c r="F75" s="115">
        <f>IF(F74=0,F71,F74)</f>
        <v>0</v>
      </c>
      <c r="G75" s="115">
        <f>IF(G74=0,G71,G74)</f>
        <v>0</v>
      </c>
      <c r="H75" s="115"/>
      <c r="I75" s="122"/>
      <c r="J75" s="122"/>
      <c r="K75" s="195"/>
    </row>
    <row r="76" spans="2:19" s="3" customFormat="1" x14ac:dyDescent="0.3">
      <c r="B76" s="200"/>
      <c r="C76" s="16" t="s">
        <v>87</v>
      </c>
      <c r="D76" s="201"/>
      <c r="E76" s="123">
        <f>E67+E75</f>
        <v>-10742.683440594146</v>
      </c>
      <c r="F76" s="123">
        <f>F67+F75</f>
        <v>-5906.0272766812886</v>
      </c>
      <c r="G76" s="123">
        <f>G67+G75</f>
        <v>-2953.0136383406443</v>
      </c>
      <c r="H76" s="123"/>
      <c r="I76" s="124"/>
      <c r="J76" s="124"/>
      <c r="K76" s="202"/>
    </row>
    <row r="77" spans="2:19" x14ac:dyDescent="0.3">
      <c r="B77" s="24"/>
      <c r="G77" s="2"/>
      <c r="H77" s="2"/>
      <c r="I77" s="2"/>
      <c r="J77" s="2"/>
      <c r="K77" s="25"/>
    </row>
    <row r="78" spans="2:19" x14ac:dyDescent="0.3">
      <c r="B78" s="24"/>
      <c r="C78" s="3" t="s">
        <v>88</v>
      </c>
      <c r="E78" s="203">
        <f t="shared" ref="E78:J78" si="9">E48+E76</f>
        <v>1455944.6865594056</v>
      </c>
      <c r="F78" s="203">
        <f t="shared" si="9"/>
        <v>1460561.5918232158</v>
      </c>
      <c r="G78" s="203">
        <f t="shared" si="9"/>
        <v>1443508.6054615565</v>
      </c>
      <c r="H78" s="203">
        <f t="shared" si="9"/>
        <v>1446461.6190998971</v>
      </c>
      <c r="I78" s="203">
        <f t="shared" si="9"/>
        <v>1446461.6190998971</v>
      </c>
      <c r="J78" s="203">
        <f t="shared" si="9"/>
        <v>1446461.6190998971</v>
      </c>
      <c r="K78" s="25"/>
    </row>
    <row r="79" spans="2:19" x14ac:dyDescent="0.3">
      <c r="B79" s="26"/>
      <c r="C79" s="31"/>
      <c r="D79" s="31"/>
      <c r="E79" s="31"/>
      <c r="F79" s="31"/>
      <c r="G79" s="31"/>
      <c r="H79" s="31"/>
      <c r="I79" s="31"/>
      <c r="J79" s="31"/>
      <c r="K79" s="27"/>
    </row>
    <row r="84" spans="6:10" x14ac:dyDescent="0.3">
      <c r="F84" s="52"/>
      <c r="G84" s="52"/>
      <c r="H84" s="52"/>
      <c r="I84" s="52"/>
      <c r="J84" s="2"/>
    </row>
  </sheetData>
  <sheetProtection algorithmName="SHA-512" hashValue="ivyqrhgXJGEV00ZorRX16M9l3TFI5qbx6LLI+PUbTtVeaDnChxOiL+8TyEpYqxhFwECpNX0AD+wG8jgUbvtSxA==" saltValue="g5KzbomwOKgXMzC8sgILjw==" spinCount="100000" sheet="1" objects="1" scenarios="1"/>
  <mergeCells count="2">
    <mergeCell ref="F5:G5"/>
    <mergeCell ref="F6:G6"/>
  </mergeCells>
  <hyperlinks>
    <hyperlink ref="G53" r:id="rId1" xr:uid="{1ED8182E-0B7A-4288-93D2-8F3DDD34E6F9}"/>
    <hyperlink ref="G54" r:id="rId2" xr:uid="{C9190C9C-3F11-4FB2-9C4A-E04844F67B02}"/>
    <hyperlink ref="C51" r:id="rId3" xr:uid="{2AAB77A0-E254-48EB-8851-A3F9524F1BFE}"/>
  </hyperlinks>
  <pageMargins left="0.7" right="0.7" top="0.75" bottom="0.75" header="0.3" footer="0.3"/>
  <pageSetup paperSize="9" scale="60" orientation="portrait"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846BE-6E5A-4C11-964A-89BF616467BC}">
  <sheetPr>
    <tabColor theme="7" tint="0.79998168889431442"/>
  </sheetPr>
  <dimension ref="B2:V115"/>
  <sheetViews>
    <sheetView zoomScale="85" zoomScaleNormal="85" workbookViewId="0"/>
  </sheetViews>
  <sheetFormatPr defaultColWidth="8.6640625" defaultRowHeight="13.8" x14ac:dyDescent="0.3"/>
  <cols>
    <col min="1" max="2" width="2.5546875" style="1" customWidth="1"/>
    <col min="3" max="3" width="56.109375" style="1" customWidth="1"/>
    <col min="4" max="4" width="3.6640625" style="5" customWidth="1"/>
    <col min="5" max="6" width="14.6640625" style="1" customWidth="1"/>
    <col min="7" max="8" width="2.5546875" style="1" customWidth="1"/>
    <col min="9" max="21" width="8.5546875" style="1" customWidth="1"/>
    <col min="22" max="22" width="9.33203125" style="1" customWidth="1"/>
    <col min="23" max="23" width="8.5546875" style="1" customWidth="1"/>
    <col min="24" max="16384" width="8.6640625" style="1"/>
  </cols>
  <sheetData>
    <row r="2" spans="2:22" ht="15.6" x14ac:dyDescent="0.3">
      <c r="B2" s="9" t="s">
        <v>89</v>
      </c>
    </row>
    <row r="4" spans="2:22" x14ac:dyDescent="0.3">
      <c r="B4" s="37"/>
      <c r="C4" s="38"/>
      <c r="D4" s="144"/>
      <c r="E4" s="38"/>
      <c r="F4" s="38"/>
      <c r="G4" s="39"/>
      <c r="V4" s="8"/>
    </row>
    <row r="5" spans="2:22" x14ac:dyDescent="0.3">
      <c r="B5" s="40"/>
      <c r="C5" s="45" t="s">
        <v>90</v>
      </c>
      <c r="E5" s="46">
        <f>tab!F2</f>
        <v>2024</v>
      </c>
      <c r="G5" s="41"/>
    </row>
    <row r="6" spans="2:22" ht="14.4" x14ac:dyDescent="0.3">
      <c r="B6" s="40"/>
      <c r="G6" s="41"/>
      <c r="V6" s="71"/>
    </row>
    <row r="7" spans="2:22" x14ac:dyDescent="0.3">
      <c r="B7" s="40"/>
      <c r="C7" s="1" t="s">
        <v>91</v>
      </c>
      <c r="E7" s="4">
        <v>4</v>
      </c>
      <c r="G7" s="41"/>
    </row>
    <row r="8" spans="2:22" x14ac:dyDescent="0.3">
      <c r="B8" s="40"/>
      <c r="E8" s="4"/>
      <c r="G8" s="41"/>
    </row>
    <row r="9" spans="2:22" x14ac:dyDescent="0.3">
      <c r="B9" s="40"/>
      <c r="C9" s="14" t="s">
        <v>92</v>
      </c>
      <c r="E9" s="4"/>
      <c r="G9" s="41"/>
    </row>
    <row r="10" spans="2:22" x14ac:dyDescent="0.3">
      <c r="B10" s="40"/>
      <c r="C10" s="1" t="s">
        <v>93</v>
      </c>
      <c r="E10" s="56">
        <v>4</v>
      </c>
      <c r="G10" s="41"/>
    </row>
    <row r="11" spans="2:22" x14ac:dyDescent="0.3">
      <c r="B11" s="40"/>
      <c r="C11" s="1" t="s">
        <v>94</v>
      </c>
      <c r="E11" s="70">
        <v>6</v>
      </c>
      <c r="G11" s="41"/>
    </row>
    <row r="12" spans="2:22" x14ac:dyDescent="0.3">
      <c r="B12" s="40"/>
      <c r="C12" s="81"/>
      <c r="D12" s="5" t="s">
        <v>95</v>
      </c>
      <c r="E12" s="5">
        <f>E10+E11</f>
        <v>10</v>
      </c>
      <c r="G12" s="41"/>
    </row>
    <row r="13" spans="2:22" x14ac:dyDescent="0.3">
      <c r="B13" s="40"/>
      <c r="C13" s="3"/>
      <c r="E13" s="5"/>
      <c r="G13" s="41"/>
    </row>
    <row r="14" spans="2:22" x14ac:dyDescent="0.3">
      <c r="B14" s="40"/>
      <c r="C14" s="16" t="s">
        <v>96</v>
      </c>
      <c r="D14" s="5" t="s">
        <v>97</v>
      </c>
      <c r="E14" s="56">
        <v>8</v>
      </c>
      <c r="F14" s="111"/>
      <c r="G14" s="41"/>
    </row>
    <row r="15" spans="2:22" x14ac:dyDescent="0.3">
      <c r="B15" s="40"/>
      <c r="C15" s="16" t="s">
        <v>98</v>
      </c>
      <c r="D15" s="5" t="s">
        <v>99</v>
      </c>
      <c r="E15" s="56">
        <v>4</v>
      </c>
      <c r="F15" s="111"/>
      <c r="G15" s="41"/>
    </row>
    <row r="16" spans="2:22" x14ac:dyDescent="0.3">
      <c r="B16" s="40"/>
      <c r="E16" s="5">
        <f>E14+E15</f>
        <v>12</v>
      </c>
      <c r="F16" s="112">
        <f>SUM(F14:F15)</f>
        <v>0</v>
      </c>
      <c r="G16" s="41"/>
    </row>
    <row r="17" spans="2:7" x14ac:dyDescent="0.3">
      <c r="B17" s="40"/>
      <c r="E17" s="5"/>
      <c r="F17" s="112"/>
      <c r="G17" s="41"/>
    </row>
    <row r="18" spans="2:7" x14ac:dyDescent="0.3">
      <c r="B18" s="40"/>
      <c r="C18" s="1" t="s">
        <v>100</v>
      </c>
      <c r="E18" s="4">
        <f>IF(E16-E12&gt;0,E16-E12,"")</f>
        <v>2</v>
      </c>
      <c r="F18" s="2">
        <f>IF(E18="",0,IF(E16&gt;=E7,(E18*tab!F21*0.25)+(E12*tab!F22*0.25),0))</f>
        <v>16664.948209787999</v>
      </c>
      <c r="G18" s="41"/>
    </row>
    <row r="19" spans="2:7" x14ac:dyDescent="0.3">
      <c r="B19" s="40"/>
      <c r="C19" s="1" t="s">
        <v>101</v>
      </c>
      <c r="E19" s="4" t="str">
        <f>IF(E16-E12&lt;1,E16-E12,"")</f>
        <v/>
      </c>
      <c r="F19" s="2">
        <f>IF(E19&lt;1,IF(E16&gt;=E7,(E16*tab!F22*0.25),0),0)</f>
        <v>0</v>
      </c>
      <c r="G19" s="41"/>
    </row>
    <row r="20" spans="2:7" x14ac:dyDescent="0.3">
      <c r="B20" s="40"/>
      <c r="E20" s="5"/>
      <c r="F20" s="6">
        <f>SUM(F18:F19)</f>
        <v>16664.948209787999</v>
      </c>
      <c r="G20" s="41"/>
    </row>
    <row r="21" spans="2:7" x14ac:dyDescent="0.3">
      <c r="B21" s="40"/>
      <c r="C21" s="72" t="s">
        <v>102</v>
      </c>
      <c r="F21" s="2"/>
      <c r="G21" s="41"/>
    </row>
    <row r="22" spans="2:7" x14ac:dyDescent="0.3">
      <c r="B22" s="40"/>
      <c r="C22" s="16" t="s">
        <v>103</v>
      </c>
      <c r="E22" s="56">
        <v>4</v>
      </c>
      <c r="F22" s="100">
        <f>IF(E24&gt;=$E$7,E22*((tab!$F$21)*3/12),0)</f>
        <v>13053.326898410998</v>
      </c>
      <c r="G22" s="41"/>
    </row>
    <row r="23" spans="2:7" x14ac:dyDescent="0.3">
      <c r="B23" s="40"/>
      <c r="C23" s="16" t="s">
        <v>104</v>
      </c>
      <c r="E23" s="56">
        <v>4</v>
      </c>
      <c r="F23" s="2">
        <f>IF(E24&gt;=$E$7,((E23*tab!$F$22)*3/12),0)</f>
        <v>4055.3139042329999</v>
      </c>
      <c r="G23" s="41"/>
    </row>
    <row r="24" spans="2:7" x14ac:dyDescent="0.3">
      <c r="B24" s="40"/>
      <c r="C24" s="69"/>
      <c r="E24" s="5">
        <f>E22+E23</f>
        <v>8</v>
      </c>
      <c r="F24" s="6">
        <f>SUM(F22:F23)</f>
        <v>17108.640802643997</v>
      </c>
      <c r="G24" s="41"/>
    </row>
    <row r="25" spans="2:7" x14ac:dyDescent="0.3">
      <c r="B25" s="40"/>
      <c r="C25" s="72" t="s">
        <v>105</v>
      </c>
      <c r="F25" s="2"/>
      <c r="G25" s="41"/>
    </row>
    <row r="26" spans="2:7" x14ac:dyDescent="0.3">
      <c r="B26" s="40"/>
      <c r="C26" s="16" t="s">
        <v>106</v>
      </c>
      <c r="E26" s="56">
        <v>0</v>
      </c>
      <c r="F26" s="100">
        <f>IF(E28&gt;=$E$7,E26*((tab!$F$21)*3/12),0)</f>
        <v>0</v>
      </c>
      <c r="G26" s="41"/>
    </row>
    <row r="27" spans="2:7" x14ac:dyDescent="0.3">
      <c r="B27" s="40"/>
      <c r="C27" s="16" t="s">
        <v>107</v>
      </c>
      <c r="E27" s="56">
        <v>0</v>
      </c>
      <c r="F27" s="2">
        <f>IF(E28&gt;=$E$7,((E27*tab!$F$22)*3/12),0)</f>
        <v>0</v>
      </c>
      <c r="G27" s="41"/>
    </row>
    <row r="28" spans="2:7" x14ac:dyDescent="0.3">
      <c r="B28" s="40"/>
      <c r="C28" s="69"/>
      <c r="E28" s="5">
        <f>E26+E27</f>
        <v>0</v>
      </c>
      <c r="F28" s="6">
        <f>SUM(F26:F27)</f>
        <v>0</v>
      </c>
      <c r="G28" s="41"/>
    </row>
    <row r="29" spans="2:7" x14ac:dyDescent="0.3">
      <c r="B29" s="40"/>
      <c r="C29" s="72" t="s">
        <v>108</v>
      </c>
      <c r="F29" s="2"/>
      <c r="G29" s="41"/>
    </row>
    <row r="30" spans="2:7" x14ac:dyDescent="0.3">
      <c r="B30" s="40"/>
      <c r="C30" s="16" t="s">
        <v>109</v>
      </c>
      <c r="E30" s="56">
        <v>0</v>
      </c>
      <c r="F30" s="100">
        <f>IF(E32&gt;=$E$7,E30*((tab!$F$21)*3/12),0)</f>
        <v>0</v>
      </c>
      <c r="G30" s="41"/>
    </row>
    <row r="31" spans="2:7" x14ac:dyDescent="0.3">
      <c r="B31" s="40"/>
      <c r="C31" s="16" t="s">
        <v>110</v>
      </c>
      <c r="E31" s="56">
        <v>0</v>
      </c>
      <c r="F31" s="2">
        <f>IF(E32&gt;=$E$7,((E31*tab!$F$22)*3/12),0)</f>
        <v>0</v>
      </c>
      <c r="G31" s="41"/>
    </row>
    <row r="32" spans="2:7" x14ac:dyDescent="0.3">
      <c r="B32" s="40"/>
      <c r="C32" s="7"/>
      <c r="E32" s="5">
        <f>E30+E31</f>
        <v>0</v>
      </c>
      <c r="F32" s="6">
        <f>SUM(F30:F31)</f>
        <v>0</v>
      </c>
      <c r="G32" s="41"/>
    </row>
    <row r="33" spans="2:22" x14ac:dyDescent="0.3">
      <c r="B33" s="40"/>
      <c r="F33" s="2"/>
      <c r="G33" s="41"/>
      <c r="V33" s="8"/>
    </row>
    <row r="34" spans="2:22" x14ac:dyDescent="0.3">
      <c r="B34" s="40"/>
      <c r="C34" s="1" t="s">
        <v>111</v>
      </c>
      <c r="E34" s="56" t="s">
        <v>112</v>
      </c>
      <c r="F34" s="101">
        <f>IF(E34="nee",0,tab!$F$23)</f>
        <v>15640.563837414002</v>
      </c>
      <c r="G34" s="41"/>
    </row>
    <row r="35" spans="2:22" x14ac:dyDescent="0.3">
      <c r="B35" s="40"/>
      <c r="F35" s="2"/>
      <c r="G35" s="41"/>
    </row>
    <row r="36" spans="2:22" x14ac:dyDescent="0.3">
      <c r="B36" s="40"/>
      <c r="C36" s="3" t="s">
        <v>113</v>
      </c>
      <c r="F36" s="6">
        <f>F20+F24+F28+F32+F34</f>
        <v>49414.152849846003</v>
      </c>
      <c r="G36" s="41"/>
    </row>
    <row r="37" spans="2:22" x14ac:dyDescent="0.3">
      <c r="B37" s="42"/>
      <c r="C37" s="68"/>
      <c r="D37" s="113"/>
      <c r="E37" s="68"/>
      <c r="F37" s="98"/>
      <c r="G37" s="44"/>
    </row>
    <row r="38" spans="2:22" x14ac:dyDescent="0.3">
      <c r="F38" s="2"/>
    </row>
    <row r="39" spans="2:22" x14ac:dyDescent="0.3">
      <c r="B39" s="37"/>
      <c r="C39" s="38"/>
      <c r="D39" s="144"/>
      <c r="E39" s="38"/>
      <c r="F39" s="99"/>
      <c r="G39" s="39"/>
    </row>
    <row r="40" spans="2:22" x14ac:dyDescent="0.3">
      <c r="B40" s="40"/>
      <c r="C40" s="45" t="s">
        <v>114</v>
      </c>
      <c r="E40" s="46">
        <f>tab!F2</f>
        <v>2024</v>
      </c>
      <c r="F40" s="2"/>
      <c r="G40" s="41"/>
    </row>
    <row r="41" spans="2:22" x14ac:dyDescent="0.3">
      <c r="B41" s="40"/>
      <c r="F41" s="2"/>
      <c r="G41" s="41"/>
    </row>
    <row r="42" spans="2:22" x14ac:dyDescent="0.3">
      <c r="B42" s="40"/>
      <c r="C42" s="1" t="s">
        <v>115</v>
      </c>
      <c r="E42" s="56">
        <v>0</v>
      </c>
      <c r="F42" s="100">
        <f>(E42*tab!$F$24)*3/12</f>
        <v>0</v>
      </c>
      <c r="G42" s="41"/>
      <c r="V42" s="8"/>
    </row>
    <row r="43" spans="2:22" x14ac:dyDescent="0.3">
      <c r="B43" s="40"/>
      <c r="C43" s="1" t="s">
        <v>116</v>
      </c>
      <c r="E43" s="56">
        <v>10</v>
      </c>
      <c r="F43" s="100">
        <f>(E43*tab!$F$24)*3/12</f>
        <v>4907.6044216350001</v>
      </c>
      <c r="G43" s="41"/>
    </row>
    <row r="44" spans="2:22" x14ac:dyDescent="0.3">
      <c r="B44" s="40"/>
      <c r="C44" s="1" t="s">
        <v>117</v>
      </c>
      <c r="E44" s="56">
        <v>0</v>
      </c>
      <c r="F44" s="100">
        <f>(E44*tab!$F$24)*3/12</f>
        <v>0</v>
      </c>
      <c r="G44" s="41"/>
    </row>
    <row r="45" spans="2:22" x14ac:dyDescent="0.3">
      <c r="B45" s="40"/>
      <c r="C45" s="1" t="s">
        <v>118</v>
      </c>
      <c r="E45" s="56">
        <v>0</v>
      </c>
      <c r="F45" s="100">
        <f>(E45*tab!$F$24)*3/12</f>
        <v>0</v>
      </c>
      <c r="G45" s="41"/>
    </row>
    <row r="46" spans="2:22" x14ac:dyDescent="0.3">
      <c r="B46" s="40"/>
      <c r="C46" s="3" t="s">
        <v>113</v>
      </c>
      <c r="F46" s="6">
        <f>SUM(F42:F45)</f>
        <v>4907.6044216350001</v>
      </c>
      <c r="G46" s="41"/>
    </row>
    <row r="47" spans="2:22" x14ac:dyDescent="0.3">
      <c r="B47" s="40"/>
      <c r="C47" s="8"/>
      <c r="F47" s="6"/>
      <c r="G47" s="41"/>
    </row>
    <row r="48" spans="2:22" x14ac:dyDescent="0.3">
      <c r="B48" s="42"/>
      <c r="C48" s="43"/>
      <c r="D48" s="113"/>
      <c r="E48" s="43"/>
      <c r="F48" s="98"/>
      <c r="G48" s="44"/>
    </row>
    <row r="49" spans="2:10" x14ac:dyDescent="0.3">
      <c r="F49" s="2"/>
    </row>
    <row r="50" spans="2:10" x14ac:dyDescent="0.3">
      <c r="B50" s="37"/>
      <c r="C50" s="38"/>
      <c r="D50" s="144"/>
      <c r="E50" s="38"/>
      <c r="F50" s="99"/>
      <c r="G50" s="39"/>
    </row>
    <row r="51" spans="2:10" x14ac:dyDescent="0.3">
      <c r="B51" s="40"/>
      <c r="C51" s="45" t="s">
        <v>119</v>
      </c>
      <c r="E51" s="46">
        <f>tab!F2</f>
        <v>2024</v>
      </c>
      <c r="F51" s="2"/>
      <c r="G51" s="41"/>
    </row>
    <row r="52" spans="2:10" x14ac:dyDescent="0.3">
      <c r="B52" s="40"/>
      <c r="F52" s="2"/>
      <c r="G52" s="41"/>
    </row>
    <row r="53" spans="2:10" x14ac:dyDescent="0.3">
      <c r="B53" s="40"/>
      <c r="C53" s="1" t="s">
        <v>120</v>
      </c>
      <c r="E53" s="56">
        <v>5</v>
      </c>
      <c r="F53" s="101">
        <f>(E53*tab!F25)</f>
        <v>5933.7985190700001</v>
      </c>
      <c r="G53" s="41"/>
      <c r="I53" s="8"/>
      <c r="J53" s="2"/>
    </row>
    <row r="54" spans="2:10" x14ac:dyDescent="0.3">
      <c r="B54" s="42"/>
      <c r="C54" s="43"/>
      <c r="D54" s="113"/>
      <c r="E54" s="43"/>
      <c r="F54" s="98"/>
      <c r="G54" s="44"/>
    </row>
    <row r="55" spans="2:10" x14ac:dyDescent="0.3">
      <c r="F55" s="2"/>
    </row>
    <row r="56" spans="2:10" x14ac:dyDescent="0.3">
      <c r="B56" s="37"/>
      <c r="C56" s="38"/>
      <c r="D56" s="144"/>
      <c r="E56" s="38"/>
      <c r="F56" s="99"/>
      <c r="G56" s="39"/>
    </row>
    <row r="57" spans="2:10" x14ac:dyDescent="0.3">
      <c r="B57" s="40"/>
      <c r="C57" s="45" t="s">
        <v>121</v>
      </c>
      <c r="E57" s="46">
        <f>tab!F2</f>
        <v>2024</v>
      </c>
      <c r="F57" s="2"/>
      <c r="G57" s="41"/>
    </row>
    <row r="58" spans="2:10" x14ac:dyDescent="0.3">
      <c r="B58" s="40"/>
      <c r="F58" s="2"/>
      <c r="G58" s="41"/>
    </row>
    <row r="59" spans="2:10" x14ac:dyDescent="0.3">
      <c r="B59" s="40"/>
      <c r="C59" s="1" t="s">
        <v>122</v>
      </c>
      <c r="E59" s="4">
        <v>3</v>
      </c>
      <c r="F59" s="2"/>
      <c r="G59" s="41"/>
    </row>
    <row r="60" spans="2:10" x14ac:dyDescent="0.3">
      <c r="B60" s="40"/>
      <c r="F60" s="2"/>
      <c r="G60" s="41"/>
    </row>
    <row r="61" spans="2:10" x14ac:dyDescent="0.3">
      <c r="B61" s="40"/>
      <c r="C61" s="7" t="s">
        <v>123</v>
      </c>
      <c r="F61" s="2"/>
      <c r="G61" s="41"/>
    </row>
    <row r="62" spans="2:10" x14ac:dyDescent="0.3">
      <c r="B62" s="40"/>
      <c r="C62" s="1" t="s">
        <v>124</v>
      </c>
      <c r="E62" s="56">
        <v>0</v>
      </c>
      <c r="F62" s="100">
        <f>IF(E62&lt;$E$59,0,(E62*(tab!$F$26/12)*12))</f>
        <v>0</v>
      </c>
      <c r="G62" s="41"/>
    </row>
    <row r="63" spans="2:10" x14ac:dyDescent="0.3">
      <c r="B63" s="40"/>
      <c r="C63" s="1" t="s">
        <v>125</v>
      </c>
      <c r="E63" s="56">
        <v>0</v>
      </c>
      <c r="F63" s="100">
        <f>IF(E63&lt;$E$59,0,(E63*(tab!$F$26/12)*10))</f>
        <v>0</v>
      </c>
      <c r="G63" s="41"/>
    </row>
    <row r="64" spans="2:10" x14ac:dyDescent="0.3">
      <c r="B64" s="40"/>
      <c r="C64" s="1" t="s">
        <v>126</v>
      </c>
      <c r="E64" s="56">
        <v>0</v>
      </c>
      <c r="F64" s="100">
        <f>IF(E64&lt;$E$59,0,(E64*(tab!$F$26/12)*9))</f>
        <v>0</v>
      </c>
      <c r="G64" s="41"/>
    </row>
    <row r="65" spans="2:7" x14ac:dyDescent="0.3">
      <c r="B65" s="40"/>
      <c r="C65" s="1" t="s">
        <v>127</v>
      </c>
      <c r="E65" s="56">
        <v>0</v>
      </c>
      <c r="F65" s="100">
        <f>IF(E65&lt;$E$59,0,(E65*(tab!$F$26/12)*8))</f>
        <v>0</v>
      </c>
      <c r="G65" s="41"/>
    </row>
    <row r="66" spans="2:7" x14ac:dyDescent="0.3">
      <c r="B66" s="40"/>
      <c r="C66" s="1" t="s">
        <v>128</v>
      </c>
      <c r="E66" s="56">
        <v>0</v>
      </c>
      <c r="F66" s="100">
        <f>IF(E66&lt;$E$59,0,(E66*(tab!$F$26/12)*7))</f>
        <v>0</v>
      </c>
      <c r="G66" s="41"/>
    </row>
    <row r="67" spans="2:7" x14ac:dyDescent="0.3">
      <c r="B67" s="40"/>
      <c r="C67" s="1" t="s">
        <v>129</v>
      </c>
      <c r="E67" s="56">
        <v>0</v>
      </c>
      <c r="F67" s="100">
        <f>IF(E67&lt;$E$59,0,(E67*(tab!$F$26/12)*6))</f>
        <v>0</v>
      </c>
      <c r="G67" s="41"/>
    </row>
    <row r="68" spans="2:7" x14ac:dyDescent="0.3">
      <c r="B68" s="40"/>
      <c r="C68" s="1" t="s">
        <v>130</v>
      </c>
      <c r="E68" s="56">
        <v>0</v>
      </c>
      <c r="F68" s="100">
        <f>IF(E68&lt;$E$59,0,(E68*(tab!$F$26/12)*5))</f>
        <v>0</v>
      </c>
      <c r="G68" s="41"/>
    </row>
    <row r="69" spans="2:7" x14ac:dyDescent="0.3">
      <c r="B69" s="40"/>
      <c r="C69" s="1" t="s">
        <v>131</v>
      </c>
      <c r="E69" s="56">
        <v>6</v>
      </c>
      <c r="F69" s="100">
        <f>IF(E69&lt;$E$59,0,(E69*(tab!$F$26/12)*4))</f>
        <v>6062.9189027040002</v>
      </c>
      <c r="G69" s="41"/>
    </row>
    <row r="70" spans="2:7" x14ac:dyDescent="0.3">
      <c r="B70" s="40"/>
      <c r="C70" s="1" t="s">
        <v>132</v>
      </c>
      <c r="E70" s="56">
        <v>0</v>
      </c>
      <c r="F70" s="100">
        <f>IF(E70&lt;$E$59,0,(E70*(tab!$F$26/12)*3))</f>
        <v>0</v>
      </c>
      <c r="G70" s="41"/>
    </row>
    <row r="71" spans="2:7" x14ac:dyDescent="0.3">
      <c r="B71" s="40"/>
      <c r="C71" s="1" t="s">
        <v>133</v>
      </c>
      <c r="E71" s="56">
        <v>0</v>
      </c>
      <c r="F71" s="100">
        <f>IF(E71&lt;$E$59,0,(E71*(tab!$F$26/12)*2))</f>
        <v>0</v>
      </c>
      <c r="G71" s="41"/>
    </row>
    <row r="72" spans="2:7" x14ac:dyDescent="0.3">
      <c r="B72" s="40"/>
      <c r="C72" s="1" t="s">
        <v>134</v>
      </c>
      <c r="E72" s="56">
        <v>0</v>
      </c>
      <c r="F72" s="100">
        <f>IF(E72&lt;$E$59,0,(E72*(tab!$F$26/12)*1))</f>
        <v>0</v>
      </c>
      <c r="G72" s="41"/>
    </row>
    <row r="73" spans="2:7" x14ac:dyDescent="0.3">
      <c r="B73" s="40"/>
      <c r="C73" s="3" t="s">
        <v>113</v>
      </c>
      <c r="F73" s="6">
        <f>SUM(F62:F72)</f>
        <v>6062.9189027040002</v>
      </c>
      <c r="G73" s="41"/>
    </row>
    <row r="74" spans="2:7" x14ac:dyDescent="0.3">
      <c r="B74" s="42"/>
      <c r="C74" s="43"/>
      <c r="D74" s="113"/>
      <c r="E74" s="43"/>
      <c r="F74" s="98"/>
      <c r="G74" s="44"/>
    </row>
    <row r="75" spans="2:7" x14ac:dyDescent="0.3">
      <c r="F75" s="2"/>
    </row>
    <row r="76" spans="2:7" x14ac:dyDescent="0.3">
      <c r="B76" s="37"/>
      <c r="C76" s="38"/>
      <c r="D76" s="144"/>
      <c r="E76" s="38"/>
      <c r="F76" s="99"/>
      <c r="G76" s="39"/>
    </row>
    <row r="77" spans="2:7" x14ac:dyDescent="0.3">
      <c r="B77" s="40"/>
      <c r="C77" s="45" t="s">
        <v>135</v>
      </c>
      <c r="E77" s="46">
        <f>tab!F2</f>
        <v>2024</v>
      </c>
      <c r="F77" s="2"/>
      <c r="G77" s="41"/>
    </row>
    <row r="78" spans="2:7" x14ac:dyDescent="0.3">
      <c r="B78" s="40"/>
      <c r="F78" s="2"/>
      <c r="G78" s="41"/>
    </row>
    <row r="79" spans="2:7" x14ac:dyDescent="0.3">
      <c r="B79" s="40"/>
      <c r="C79" s="1" t="s">
        <v>136</v>
      </c>
      <c r="E79" s="4">
        <v>4</v>
      </c>
      <c r="F79" s="2"/>
      <c r="G79" s="41"/>
    </row>
    <row r="80" spans="2:7" x14ac:dyDescent="0.3">
      <c r="B80" s="40"/>
      <c r="F80" s="2"/>
      <c r="G80" s="41"/>
    </row>
    <row r="81" spans="2:7" x14ac:dyDescent="0.3">
      <c r="B81" s="40"/>
      <c r="C81" s="7" t="s">
        <v>123</v>
      </c>
      <c r="F81" s="2"/>
      <c r="G81" s="41"/>
    </row>
    <row r="82" spans="2:7" x14ac:dyDescent="0.3">
      <c r="B82" s="40"/>
      <c r="C82" s="1" t="s">
        <v>124</v>
      </c>
      <c r="E82" s="56">
        <v>0</v>
      </c>
      <c r="F82" s="100">
        <f>IF(E82&lt;$E$79,0,(E82*(tab!$F$27/12)*12))</f>
        <v>0</v>
      </c>
      <c r="G82" s="41"/>
    </row>
    <row r="83" spans="2:7" x14ac:dyDescent="0.3">
      <c r="B83" s="40"/>
      <c r="C83" s="1" t="s">
        <v>125</v>
      </c>
      <c r="E83" s="56">
        <v>0</v>
      </c>
      <c r="F83" s="100">
        <f>IF(E83&lt;$E$79,0,(E83*(tab!$F$27/12)*10))</f>
        <v>0</v>
      </c>
      <c r="G83" s="41"/>
    </row>
    <row r="84" spans="2:7" x14ac:dyDescent="0.3">
      <c r="B84" s="40"/>
      <c r="C84" s="1" t="s">
        <v>126</v>
      </c>
      <c r="E84" s="56">
        <v>0</v>
      </c>
      <c r="F84" s="100">
        <f>IF(E84&lt;$E$79,0,(E84*(tab!$F$27/12)*9))</f>
        <v>0</v>
      </c>
      <c r="G84" s="41"/>
    </row>
    <row r="85" spans="2:7" x14ac:dyDescent="0.3">
      <c r="B85" s="40"/>
      <c r="C85" s="1" t="s">
        <v>127</v>
      </c>
      <c r="E85" s="56">
        <v>0</v>
      </c>
      <c r="F85" s="100">
        <f>IF(E85&lt;$E$79,0,(E85*(tab!$F$27/12)*8))</f>
        <v>0</v>
      </c>
      <c r="G85" s="41"/>
    </row>
    <row r="86" spans="2:7" x14ac:dyDescent="0.3">
      <c r="B86" s="40"/>
      <c r="C86" s="1" t="s">
        <v>128</v>
      </c>
      <c r="E86" s="56">
        <v>0</v>
      </c>
      <c r="F86" s="100">
        <f>IF(E86&lt;$E$79,0,(E86*(tab!$F$27/12)*7))</f>
        <v>0</v>
      </c>
      <c r="G86" s="41"/>
    </row>
    <row r="87" spans="2:7" x14ac:dyDescent="0.3">
      <c r="B87" s="40"/>
      <c r="C87" s="1" t="s">
        <v>129</v>
      </c>
      <c r="E87" s="56">
        <v>0</v>
      </c>
      <c r="F87" s="100">
        <f>IF(E87&lt;$E$79,0,(E87*(tab!$F$27/12)*6))</f>
        <v>0</v>
      </c>
      <c r="G87" s="41"/>
    </row>
    <row r="88" spans="2:7" x14ac:dyDescent="0.3">
      <c r="B88" s="40"/>
      <c r="C88" s="1" t="s">
        <v>130</v>
      </c>
      <c r="E88" s="56">
        <v>0</v>
      </c>
      <c r="F88" s="100">
        <f>IF(E88&lt;$E$79,0,(E88*(tab!$F$27/12)*5))</f>
        <v>0</v>
      </c>
      <c r="G88" s="41"/>
    </row>
    <row r="89" spans="2:7" x14ac:dyDescent="0.3">
      <c r="B89" s="40"/>
      <c r="C89" s="1" t="s">
        <v>131</v>
      </c>
      <c r="E89" s="56">
        <v>6</v>
      </c>
      <c r="F89" s="100">
        <f>IF(E89&lt;$E$79,0,(E89*(tab!$F$27/12)*4))</f>
        <v>8166.95925042</v>
      </c>
      <c r="G89" s="41"/>
    </row>
    <row r="90" spans="2:7" x14ac:dyDescent="0.3">
      <c r="B90" s="40"/>
      <c r="C90" s="1" t="s">
        <v>132</v>
      </c>
      <c r="E90" s="56">
        <v>0</v>
      </c>
      <c r="F90" s="100">
        <f>IF(E90&lt;$E$79,0,(E90*(tab!$F$27/12)*3))</f>
        <v>0</v>
      </c>
      <c r="G90" s="41"/>
    </row>
    <row r="91" spans="2:7" x14ac:dyDescent="0.3">
      <c r="B91" s="40"/>
      <c r="C91" s="1" t="s">
        <v>133</v>
      </c>
      <c r="E91" s="56">
        <v>0</v>
      </c>
      <c r="F91" s="100">
        <f>IF(E91&lt;$E$79,0,(E91*(tab!$F$27/12)*2))</f>
        <v>0</v>
      </c>
      <c r="G91" s="41"/>
    </row>
    <row r="92" spans="2:7" x14ac:dyDescent="0.3">
      <c r="B92" s="40"/>
      <c r="C92" s="1" t="s">
        <v>134</v>
      </c>
      <c r="E92" s="56">
        <v>0</v>
      </c>
      <c r="F92" s="100">
        <f>IF(E92&lt;$E$79,0,(E92*(tab!$F$27/12)*1))</f>
        <v>0</v>
      </c>
      <c r="G92" s="41"/>
    </row>
    <row r="93" spans="2:7" x14ac:dyDescent="0.3">
      <c r="B93" s="40"/>
      <c r="C93" s="3" t="s">
        <v>113</v>
      </c>
      <c r="F93" s="6">
        <f>SUM(F82:F92)</f>
        <v>8166.95925042</v>
      </c>
      <c r="G93" s="41"/>
    </row>
    <row r="94" spans="2:7" x14ac:dyDescent="0.3">
      <c r="B94" s="42"/>
      <c r="C94" s="43"/>
      <c r="D94" s="113"/>
      <c r="E94" s="43"/>
      <c r="F94" s="98"/>
      <c r="G94" s="44"/>
    </row>
    <row r="95" spans="2:7" x14ac:dyDescent="0.3">
      <c r="F95" s="2"/>
    </row>
    <row r="96" spans="2:7" hidden="1" x14ac:dyDescent="0.3">
      <c r="B96" s="37"/>
      <c r="C96" s="38"/>
      <c r="D96" s="144"/>
      <c r="E96" s="38"/>
      <c r="F96" s="99"/>
      <c r="G96" s="39"/>
    </row>
    <row r="97" spans="2:7" hidden="1" x14ac:dyDescent="0.3">
      <c r="B97" s="40"/>
      <c r="C97" s="45" t="s">
        <v>137</v>
      </c>
      <c r="E97" s="46">
        <f>tab!F2</f>
        <v>2024</v>
      </c>
      <c r="F97" s="2"/>
      <c r="G97" s="41"/>
    </row>
    <row r="98" spans="2:7" hidden="1" x14ac:dyDescent="0.3">
      <c r="B98" s="40"/>
      <c r="F98" s="2"/>
      <c r="G98" s="41"/>
    </row>
    <row r="99" spans="2:7" hidden="1" x14ac:dyDescent="0.3">
      <c r="B99" s="40"/>
      <c r="C99" s="1" t="s">
        <v>136</v>
      </c>
      <c r="E99" s="4">
        <v>10</v>
      </c>
      <c r="F99" s="2"/>
      <c r="G99" s="41"/>
    </row>
    <row r="100" spans="2:7" hidden="1" x14ac:dyDescent="0.3">
      <c r="B100" s="40"/>
      <c r="F100" s="2"/>
      <c r="G100" s="41"/>
    </row>
    <row r="101" spans="2:7" hidden="1" x14ac:dyDescent="0.3">
      <c r="B101" s="40"/>
      <c r="C101" s="7" t="s">
        <v>123</v>
      </c>
      <c r="F101" s="2"/>
      <c r="G101" s="41"/>
    </row>
    <row r="102" spans="2:7" hidden="1" x14ac:dyDescent="0.3">
      <c r="B102" s="40"/>
      <c r="C102" s="1" t="s">
        <v>124</v>
      </c>
      <c r="E102" s="56">
        <v>0</v>
      </c>
      <c r="F102" s="100">
        <f>IF(E102&lt;$E$99,0,(E102*(tab!$F$28/12)*12))</f>
        <v>0</v>
      </c>
      <c r="G102" s="41"/>
    </row>
    <row r="103" spans="2:7" hidden="1" x14ac:dyDescent="0.3">
      <c r="B103" s="40"/>
      <c r="C103" s="1" t="s">
        <v>125</v>
      </c>
      <c r="E103" s="56">
        <v>0</v>
      </c>
      <c r="F103" s="100">
        <f>IF(E103&lt;$E$99,0,(E103*(tab!$F$28/12)*10))</f>
        <v>0</v>
      </c>
      <c r="G103" s="41"/>
    </row>
    <row r="104" spans="2:7" hidden="1" x14ac:dyDescent="0.3">
      <c r="B104" s="40"/>
      <c r="C104" s="1" t="s">
        <v>126</v>
      </c>
      <c r="E104" s="56">
        <v>0</v>
      </c>
      <c r="F104" s="100">
        <f>IF(E104&lt;$E$99,0,(E104*(tab!$F$28/12)*9))</f>
        <v>0</v>
      </c>
      <c r="G104" s="41"/>
    </row>
    <row r="105" spans="2:7" hidden="1" x14ac:dyDescent="0.3">
      <c r="B105" s="40"/>
      <c r="C105" s="1" t="s">
        <v>127</v>
      </c>
      <c r="E105" s="56">
        <v>0</v>
      </c>
      <c r="F105" s="100">
        <f>IF(E105&lt;$E$99,0,(E105*(tab!$F$28/12)*8))</f>
        <v>0</v>
      </c>
      <c r="G105" s="41"/>
    </row>
    <row r="106" spans="2:7" hidden="1" x14ac:dyDescent="0.3">
      <c r="B106" s="40"/>
      <c r="C106" s="1" t="s">
        <v>128</v>
      </c>
      <c r="E106" s="56">
        <v>0</v>
      </c>
      <c r="F106" s="100">
        <f>IF(E106&lt;$E$99,0,(E106*(tab!$F$28/12)*7))</f>
        <v>0</v>
      </c>
      <c r="G106" s="41"/>
    </row>
    <row r="107" spans="2:7" hidden="1" x14ac:dyDescent="0.3">
      <c r="B107" s="40"/>
      <c r="C107" s="1" t="s">
        <v>129</v>
      </c>
      <c r="E107" s="56">
        <v>0</v>
      </c>
      <c r="F107" s="100">
        <f>IF(E107&lt;$E$99,0,(E107*(tab!$F$28/12)*6))</f>
        <v>0</v>
      </c>
      <c r="G107" s="41"/>
    </row>
    <row r="108" spans="2:7" hidden="1" x14ac:dyDescent="0.3">
      <c r="B108" s="40"/>
      <c r="C108" s="1" t="s">
        <v>130</v>
      </c>
      <c r="E108" s="56">
        <v>0</v>
      </c>
      <c r="F108" s="100">
        <f>IF(E108&lt;$E$99,0,(E108*(tab!$F$28/12)*5))</f>
        <v>0</v>
      </c>
      <c r="G108" s="41"/>
    </row>
    <row r="109" spans="2:7" hidden="1" x14ac:dyDescent="0.3">
      <c r="B109" s="40"/>
      <c r="C109" s="1" t="s">
        <v>131</v>
      </c>
      <c r="E109" s="56">
        <v>6</v>
      </c>
      <c r="F109" s="100">
        <f>IF(E109&lt;$E$99,0,(E109*(tab!$F$28/12)*4))</f>
        <v>0</v>
      </c>
      <c r="G109" s="41"/>
    </row>
    <row r="110" spans="2:7" hidden="1" x14ac:dyDescent="0.3">
      <c r="B110" s="40"/>
      <c r="C110" s="1" t="s">
        <v>132</v>
      </c>
      <c r="E110" s="56">
        <v>0</v>
      </c>
      <c r="F110" s="100">
        <f>IF(E110&lt;$E$99,0,(E110*(tab!$F$28/12)*3))</f>
        <v>0</v>
      </c>
      <c r="G110" s="41"/>
    </row>
    <row r="111" spans="2:7" hidden="1" x14ac:dyDescent="0.3">
      <c r="B111" s="40"/>
      <c r="C111" s="1" t="s">
        <v>133</v>
      </c>
      <c r="E111" s="56">
        <v>0</v>
      </c>
      <c r="F111" s="100">
        <f>IF(E111&lt;$E$99,0,(E111*(tab!$F$28/12)*2))</f>
        <v>0</v>
      </c>
      <c r="G111" s="41"/>
    </row>
    <row r="112" spans="2:7" hidden="1" x14ac:dyDescent="0.3">
      <c r="B112" s="40"/>
      <c r="C112" s="1" t="s">
        <v>134</v>
      </c>
      <c r="E112" s="56">
        <v>0</v>
      </c>
      <c r="F112" s="100">
        <f>IF(E112&lt;$E$99,0,(E112*(tab!$F$28/12)*1))</f>
        <v>0</v>
      </c>
      <c r="G112" s="41"/>
    </row>
    <row r="113" spans="2:7" hidden="1" x14ac:dyDescent="0.3">
      <c r="B113" s="40"/>
      <c r="C113" s="3" t="s">
        <v>113</v>
      </c>
      <c r="F113" s="6">
        <f>SUM(F102:F112)</f>
        <v>0</v>
      </c>
      <c r="G113" s="41"/>
    </row>
    <row r="114" spans="2:7" hidden="1" x14ac:dyDescent="0.3">
      <c r="B114" s="42"/>
      <c r="C114" s="43"/>
      <c r="D114" s="113"/>
      <c r="E114" s="43"/>
      <c r="F114" s="43"/>
      <c r="G114" s="44"/>
    </row>
    <row r="115" spans="2:7" hidden="1" x14ac:dyDescent="0.3"/>
  </sheetData>
  <sheetProtection algorithmName="SHA-512" hashValue="+ritZl7GNsVtv08F/WSc1WQF7X3O6N/sMWzZ4zg9iB+l0M+wkNudsAJWbd6mR2tAEzUEFvZ9/yNd3FvrIdvwhw==" saltValue="W0WzRovxme+4fCwoIHm2sQ==" spinCount="100000" sheet="1" objects="1" scenarios="1"/>
  <dataValidations count="1">
    <dataValidation type="list" allowBlank="1" showInputMessage="1" showErrorMessage="1" sqref="E34" xr:uid="{8042C535-4C12-4059-B743-7458E6B9B8FD}">
      <formula1>"ja,nee"</formula1>
    </dataValidation>
  </dataValidations>
  <pageMargins left="0.7" right="0.7" top="0.75" bottom="0.75" header="0.3" footer="0.3"/>
  <pageSetup paperSize="9" scale="65" orientation="portrait" r:id="rId1"/>
  <rowBreaks count="1" manualBreakCount="1">
    <brk id="55" min="1" max="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72788-3B80-41BE-8523-B2F9370AC31C}">
  <sheetPr>
    <tabColor theme="7" tint="0.79998168889431442"/>
  </sheetPr>
  <dimension ref="B2:V25"/>
  <sheetViews>
    <sheetView zoomScale="85" zoomScaleNormal="85" zoomScaleSheetLayoutView="90" workbookViewId="0"/>
  </sheetViews>
  <sheetFormatPr defaultColWidth="8.6640625" defaultRowHeight="13.8" x14ac:dyDescent="0.3"/>
  <cols>
    <col min="1" max="2" width="2.5546875" style="1" customWidth="1"/>
    <col min="3" max="3" width="55.6640625" style="1" customWidth="1"/>
    <col min="4" max="4" width="1.5546875" style="1" customWidth="1"/>
    <col min="5" max="5" width="14.5546875" style="4" customWidth="1"/>
    <col min="6" max="6" width="12.5546875" style="1" customWidth="1"/>
    <col min="7" max="8" width="2.5546875" style="1" customWidth="1"/>
    <col min="9" max="21" width="8.6640625" style="1"/>
    <col min="22" max="22" width="10.33203125" style="1" bestFit="1" customWidth="1"/>
    <col min="23" max="16384" width="8.6640625" style="1"/>
  </cols>
  <sheetData>
    <row r="2" spans="2:9" s="15" customFormat="1" ht="15.6" x14ac:dyDescent="0.3">
      <c r="B2" s="9" t="str">
        <f>"GROEIBEKOSTIGING BASISSCHOLEN "&amp;tab!F2</f>
        <v>GROEIBEKOSTIGING BASISSCHOLEN 2024</v>
      </c>
      <c r="E2" s="32"/>
      <c r="I2" s="9"/>
    </row>
    <row r="3" spans="2:9" x14ac:dyDescent="0.3">
      <c r="C3" s="7"/>
    </row>
    <row r="4" spans="2:9" x14ac:dyDescent="0.3">
      <c r="B4" s="20"/>
      <c r="C4" s="30"/>
      <c r="D4" s="21"/>
      <c r="E4" s="33"/>
      <c r="F4" s="21"/>
      <c r="G4" s="23"/>
    </row>
    <row r="5" spans="2:9" ht="15.6" x14ac:dyDescent="0.3">
      <c r="B5" s="24"/>
      <c r="C5" s="3" t="s">
        <v>138</v>
      </c>
      <c r="E5" s="35">
        <f>tab!F2</f>
        <v>2024</v>
      </c>
      <c r="F5" s="15"/>
      <c r="G5" s="25"/>
    </row>
    <row r="6" spans="2:9" x14ac:dyDescent="0.3">
      <c r="B6" s="24"/>
      <c r="C6" s="17"/>
      <c r="D6" s="18"/>
      <c r="E6" s="19"/>
      <c r="F6" s="18"/>
      <c r="G6" s="25"/>
    </row>
    <row r="7" spans="2:9" x14ac:dyDescent="0.3">
      <c r="B7" s="24"/>
      <c r="C7" s="1" t="str">
        <f>"Aantal leerlingen BAS binnen bestuur per teldatum 1-2-"&amp;tab!F2-1</f>
        <v>Aantal leerlingen BAS binnen bestuur per teldatum 1-2-2023</v>
      </c>
      <c r="E7" s="146">
        <v>100</v>
      </c>
      <c r="G7" s="25"/>
    </row>
    <row r="8" spans="2:9" x14ac:dyDescent="0.3">
      <c r="B8" s="24"/>
      <c r="C8" s="1" t="s">
        <v>139</v>
      </c>
      <c r="E8" s="4">
        <f>E7*104%</f>
        <v>104</v>
      </c>
      <c r="G8" s="25"/>
    </row>
    <row r="9" spans="2:9" x14ac:dyDescent="0.3">
      <c r="B9" s="24"/>
      <c r="G9" s="25"/>
    </row>
    <row r="10" spans="2:9" x14ac:dyDescent="0.3">
      <c r="B10" s="24"/>
      <c r="C10" s="7" t="s">
        <v>140</v>
      </c>
      <c r="G10" s="25"/>
    </row>
    <row r="11" spans="2:9" x14ac:dyDescent="0.3">
      <c r="B11" s="24"/>
      <c r="C11" s="57" t="s">
        <v>141</v>
      </c>
      <c r="E11" s="147">
        <v>110</v>
      </c>
      <c r="F11" s="100">
        <f>IF(E11&lt;$E$8,0,((E11-$E$7)*(tab!$F$20/12)))</f>
        <v>5076.7703880874997</v>
      </c>
      <c r="G11" s="25"/>
    </row>
    <row r="12" spans="2:9" x14ac:dyDescent="0.3">
      <c r="B12" s="24"/>
      <c r="C12" s="57" t="s">
        <v>142</v>
      </c>
      <c r="E12" s="148"/>
      <c r="F12" s="100">
        <f>IF(E12&lt;$E$8,0,((E12-$E$7)*(tab!$F$20/12)))</f>
        <v>0</v>
      </c>
      <c r="G12" s="25"/>
    </row>
    <row r="13" spans="2:9" x14ac:dyDescent="0.3">
      <c r="B13" s="24"/>
      <c r="C13" s="57" t="s">
        <v>143</v>
      </c>
      <c r="E13" s="148"/>
      <c r="F13" s="100">
        <f>IF(E13&lt;$E$8,0,((E13-$E$7)*(tab!$F$20/12)))</f>
        <v>0</v>
      </c>
      <c r="G13" s="25"/>
    </row>
    <row r="14" spans="2:9" x14ac:dyDescent="0.3">
      <c r="B14" s="24"/>
      <c r="C14" s="57" t="s">
        <v>144</v>
      </c>
      <c r="E14" s="148"/>
      <c r="F14" s="100">
        <f>IF(E14&lt;$E$8,0,((E14-$E$7)*(tab!$F$20/12)))</f>
        <v>0</v>
      </c>
      <c r="G14" s="25"/>
    </row>
    <row r="15" spans="2:9" x14ac:dyDescent="0.3">
      <c r="B15" s="24"/>
      <c r="C15" s="57" t="s">
        <v>145</v>
      </c>
      <c r="E15" s="148"/>
      <c r="F15" s="100">
        <f>IF(E15&lt;$E$8,0,((E15-$E$7)*(tab!$F$20/12)))</f>
        <v>0</v>
      </c>
      <c r="G15" s="25"/>
    </row>
    <row r="16" spans="2:9" x14ac:dyDescent="0.3">
      <c r="B16" s="24"/>
      <c r="C16" s="57" t="s">
        <v>146</v>
      </c>
      <c r="E16" s="148"/>
      <c r="F16" s="100">
        <f>IF(E16&lt;$E$8,0,((E16-$E$7)*(tab!$F$20/12)))</f>
        <v>0</v>
      </c>
      <c r="G16" s="25"/>
    </row>
    <row r="17" spans="2:22" x14ac:dyDescent="0.3">
      <c r="B17" s="24"/>
      <c r="C17" s="57" t="s">
        <v>147</v>
      </c>
      <c r="E17" s="148"/>
      <c r="F17" s="100">
        <f>IF(E17&lt;$E$8,0,((E17-$E$7)*(tab!$F$20/12)))</f>
        <v>0</v>
      </c>
      <c r="G17" s="25"/>
    </row>
    <row r="18" spans="2:22" x14ac:dyDescent="0.3">
      <c r="B18" s="24"/>
      <c r="C18" s="57" t="s">
        <v>148</v>
      </c>
      <c r="E18" s="148"/>
      <c r="F18" s="100">
        <f>IF(E18&lt;$E$8,0,((E18-$E$7)*(tab!$F$20/12)))</f>
        <v>0</v>
      </c>
      <c r="G18" s="25"/>
    </row>
    <row r="19" spans="2:22" x14ac:dyDescent="0.3">
      <c r="B19" s="24"/>
      <c r="C19" s="57" t="s">
        <v>149</v>
      </c>
      <c r="E19" s="148"/>
      <c r="F19" s="100">
        <f>IF(E19&lt;$E$8,0,((E19-$E$7)*(tab!$F$20/12)))</f>
        <v>0</v>
      </c>
      <c r="G19" s="25"/>
    </row>
    <row r="20" spans="2:22" x14ac:dyDescent="0.3">
      <c r="B20" s="24"/>
      <c r="C20" s="57" t="s">
        <v>150</v>
      </c>
      <c r="E20" s="148"/>
      <c r="F20" s="100">
        <f>IF(E20&lt;$E$8,0,((E20-$E$7)*(tab!$F$20/12)))</f>
        <v>0</v>
      </c>
      <c r="G20" s="25"/>
      <c r="V20" s="143"/>
    </row>
    <row r="21" spans="2:22" x14ac:dyDescent="0.3">
      <c r="B21" s="24"/>
      <c r="C21" s="57" t="s">
        <v>151</v>
      </c>
      <c r="E21" s="148"/>
      <c r="F21" s="100">
        <f>IF(E21&lt;$E$8,0,((E21-$E$7)*(tab!$F$20/12)))</f>
        <v>0</v>
      </c>
      <c r="G21" s="25"/>
      <c r="V21" s="143"/>
    </row>
    <row r="22" spans="2:22" x14ac:dyDescent="0.3">
      <c r="B22" s="24"/>
      <c r="C22" s="57" t="s">
        <v>152</v>
      </c>
      <c r="E22" s="148"/>
      <c r="F22" s="100">
        <f>IF(E22&lt;$E$8,0,((E22-$E$7)*(tab!$F$20/12)))</f>
        <v>0</v>
      </c>
      <c r="G22" s="25"/>
    </row>
    <row r="23" spans="2:22" x14ac:dyDescent="0.3">
      <c r="B23" s="24"/>
      <c r="E23" s="1"/>
      <c r="F23" s="2"/>
      <c r="G23" s="25"/>
    </row>
    <row r="24" spans="2:22" x14ac:dyDescent="0.3">
      <c r="B24" s="24"/>
      <c r="C24" s="3" t="str">
        <f>"Groeibekostiging bestuur totaal "&amp;tab!F2</f>
        <v>Groeibekostiging bestuur totaal 2024</v>
      </c>
      <c r="E24" s="1"/>
      <c r="F24" s="6">
        <f>SUM(F11:F22)</f>
        <v>5076.7703880874997</v>
      </c>
      <c r="G24" s="25"/>
    </row>
    <row r="25" spans="2:22" x14ac:dyDescent="0.3">
      <c r="B25" s="26"/>
      <c r="C25" s="31"/>
      <c r="D25" s="31"/>
      <c r="E25" s="34"/>
      <c r="F25" s="64"/>
      <c r="G25" s="27"/>
    </row>
  </sheetData>
  <sheetProtection algorithmName="SHA-512" hashValue="jFAvWqhg8RpjHJqoxeSpWw4SX15tTpKnz0oLsZ4dN82+wBfcTb5/XxhF5OrBzKGGvN6MfDAtsN8b7IIpB6Rtqg==" saltValue="RifrmSsh36g2yaTme/PcFQ==" spinCount="100000" sheet="1" objects="1" scenarios="1"/>
  <pageMargins left="0.7" right="0.7" top="0.75" bottom="0.75" header="0.3" footer="0.3"/>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3F186-C01A-47B5-88F7-794A902BDBC8}">
  <sheetPr>
    <tabColor theme="9" tint="0.79998168889431442"/>
  </sheetPr>
  <dimension ref="B2:M66"/>
  <sheetViews>
    <sheetView zoomScale="85" zoomScaleNormal="85" workbookViewId="0">
      <selection activeCell="F26" sqref="F26"/>
    </sheetView>
  </sheetViews>
  <sheetFormatPr defaultColWidth="8.6640625" defaultRowHeight="13.8" x14ac:dyDescent="0.3"/>
  <cols>
    <col min="1" max="2" width="2.5546875" style="1" customWidth="1"/>
    <col min="3" max="3" width="50.6640625" style="1" customWidth="1"/>
    <col min="4" max="4" width="1.5546875" style="1" customWidth="1"/>
    <col min="5" max="5" width="14.5546875" style="1" customWidth="1"/>
    <col min="6" max="6" width="14.5546875" style="2" customWidth="1"/>
    <col min="7" max="10" width="14.5546875" style="1" customWidth="1"/>
    <col min="11" max="11" width="2.5546875" style="1" customWidth="1"/>
    <col min="12" max="16384" width="8.6640625" style="1"/>
  </cols>
  <sheetData>
    <row r="2" spans="2:11" ht="15.6" x14ac:dyDescent="0.3">
      <c r="B2" s="9" t="s">
        <v>153</v>
      </c>
    </row>
    <row r="4" spans="2:11" x14ac:dyDescent="0.3">
      <c r="B4" s="20"/>
      <c r="C4" s="21"/>
      <c r="D4" s="21"/>
      <c r="E4" s="21"/>
      <c r="F4" s="22"/>
      <c r="G4" s="21"/>
      <c r="H4" s="21"/>
      <c r="I4" s="21"/>
      <c r="J4" s="21"/>
      <c r="K4" s="23"/>
    </row>
    <row r="5" spans="2:11" ht="12.9" customHeight="1" x14ac:dyDescent="0.3">
      <c r="B5" s="24"/>
      <c r="C5" s="1" t="s">
        <v>16</v>
      </c>
      <c r="F5" s="252" t="s">
        <v>154</v>
      </c>
      <c r="G5" s="253"/>
      <c r="K5" s="25"/>
    </row>
    <row r="6" spans="2:11" ht="12.9" customHeight="1" x14ac:dyDescent="0.3">
      <c r="B6" s="24"/>
      <c r="C6" s="1" t="s">
        <v>18</v>
      </c>
      <c r="F6" s="252" t="s">
        <v>155</v>
      </c>
      <c r="G6" s="253"/>
      <c r="K6" s="25"/>
    </row>
    <row r="7" spans="2:11" x14ac:dyDescent="0.3">
      <c r="B7" s="24"/>
      <c r="K7" s="25"/>
    </row>
    <row r="8" spans="2:11" x14ac:dyDescent="0.3">
      <c r="B8" s="24"/>
      <c r="C8" s="205" t="s">
        <v>20</v>
      </c>
      <c r="D8" s="206"/>
      <c r="E8" s="180">
        <v>2023</v>
      </c>
      <c r="F8" s="207">
        <f>tab!F2</f>
        <v>2024</v>
      </c>
      <c r="G8" s="207">
        <f>tab!G2</f>
        <v>2025</v>
      </c>
      <c r="H8" s="207">
        <f>tab!H2</f>
        <v>2026</v>
      </c>
      <c r="I8" s="207">
        <f>tab!I2</f>
        <v>2027</v>
      </c>
      <c r="J8" s="207">
        <f>tab!J2</f>
        <v>2028</v>
      </c>
      <c r="K8" s="25"/>
    </row>
    <row r="9" spans="2:11" x14ac:dyDescent="0.3">
      <c r="B9" s="24"/>
      <c r="C9" s="205" t="s">
        <v>21</v>
      </c>
      <c r="D9" s="206"/>
      <c r="E9" s="19">
        <v>44593</v>
      </c>
      <c r="F9" s="208" t="str">
        <f>tab!F4</f>
        <v>1-2-2023</v>
      </c>
      <c r="G9" s="208" t="str">
        <f>tab!G4</f>
        <v>1-2-2024</v>
      </c>
      <c r="H9" s="208" t="str">
        <f>tab!H4</f>
        <v>1-2-2025</v>
      </c>
      <c r="I9" s="208" t="str">
        <f>tab!I4</f>
        <v>1-2-2026</v>
      </c>
      <c r="J9" s="208" t="str">
        <f>tab!J4</f>
        <v>1-2-2027</v>
      </c>
      <c r="K9" s="25"/>
    </row>
    <row r="10" spans="2:11" x14ac:dyDescent="0.3">
      <c r="B10" s="24"/>
      <c r="C10" s="3" t="s">
        <v>22</v>
      </c>
      <c r="E10" s="181"/>
      <c r="F10" s="5"/>
      <c r="G10" s="5"/>
      <c r="H10" s="5"/>
      <c r="I10" s="5"/>
      <c r="J10" s="5"/>
      <c r="K10" s="25"/>
    </row>
    <row r="11" spans="2:11" x14ac:dyDescent="0.3">
      <c r="B11" s="24"/>
      <c r="C11" s="1" t="s">
        <v>23</v>
      </c>
      <c r="E11" s="53">
        <v>100</v>
      </c>
      <c r="F11" s="53">
        <v>100</v>
      </c>
      <c r="G11" s="53">
        <f t="shared" ref="G11:J13" si="0">F11</f>
        <v>100</v>
      </c>
      <c r="H11" s="53">
        <f t="shared" si="0"/>
        <v>100</v>
      </c>
      <c r="I11" s="53">
        <f t="shared" si="0"/>
        <v>100</v>
      </c>
      <c r="J11" s="53">
        <f t="shared" si="0"/>
        <v>100</v>
      </c>
      <c r="K11" s="25"/>
    </row>
    <row r="12" spans="2:11" x14ac:dyDescent="0.3">
      <c r="B12" s="24"/>
      <c r="C12" s="1" t="s">
        <v>156</v>
      </c>
      <c r="E12" s="53">
        <v>5</v>
      </c>
      <c r="F12" s="53">
        <v>5</v>
      </c>
      <c r="G12" s="53">
        <f t="shared" si="0"/>
        <v>5</v>
      </c>
      <c r="H12" s="53">
        <f t="shared" si="0"/>
        <v>5</v>
      </c>
      <c r="I12" s="53">
        <f t="shared" si="0"/>
        <v>5</v>
      </c>
      <c r="J12" s="53">
        <f t="shared" si="0"/>
        <v>5</v>
      </c>
      <c r="K12" s="25"/>
    </row>
    <row r="13" spans="2:11" x14ac:dyDescent="0.3">
      <c r="B13" s="24"/>
      <c r="C13" s="1" t="s">
        <v>157</v>
      </c>
      <c r="E13" s="53">
        <v>1</v>
      </c>
      <c r="F13" s="53">
        <v>1</v>
      </c>
      <c r="G13" s="53">
        <f t="shared" si="0"/>
        <v>1</v>
      </c>
      <c r="H13" s="53">
        <f t="shared" si="0"/>
        <v>1</v>
      </c>
      <c r="I13" s="53">
        <f t="shared" si="0"/>
        <v>1</v>
      </c>
      <c r="J13" s="53">
        <f t="shared" si="0"/>
        <v>1</v>
      </c>
      <c r="K13" s="25"/>
    </row>
    <row r="14" spans="2:11" x14ac:dyDescent="0.3">
      <c r="B14" s="24"/>
      <c r="E14" s="4"/>
      <c r="F14" s="4"/>
      <c r="G14" s="4"/>
      <c r="H14" s="4"/>
      <c r="I14" s="4"/>
      <c r="J14" s="4"/>
      <c r="K14" s="25"/>
    </row>
    <row r="15" spans="2:11" x14ac:dyDescent="0.3">
      <c r="B15" s="24"/>
      <c r="C15" s="3" t="s">
        <v>29</v>
      </c>
      <c r="D15" s="3"/>
      <c r="E15" s="2"/>
      <c r="G15" s="2"/>
      <c r="H15" s="2"/>
      <c r="I15" s="2"/>
      <c r="J15" s="2"/>
      <c r="K15" s="25"/>
    </row>
    <row r="16" spans="2:11" x14ac:dyDescent="0.3">
      <c r="B16" s="24"/>
      <c r="C16" s="1" t="s">
        <v>30</v>
      </c>
      <c r="E16" s="82">
        <f>(E11*tab!E31)</f>
        <v>702057</v>
      </c>
      <c r="F16" s="82">
        <f>(F11*tab!F31)</f>
        <v>701950.35754169989</v>
      </c>
      <c r="G16" s="82">
        <f>(G11*tab!G31)</f>
        <v>701950.35754169989</v>
      </c>
      <c r="H16" s="82">
        <f>(H11*tab!H31)</f>
        <v>701950.35754169989</v>
      </c>
      <c r="I16" s="82">
        <f>(I11*tab!I31)</f>
        <v>701950.35754169989</v>
      </c>
      <c r="J16" s="82">
        <f>(J11*tab!J31)</f>
        <v>701950.35754169989</v>
      </c>
      <c r="K16" s="25"/>
    </row>
    <row r="17" spans="2:11" x14ac:dyDescent="0.3">
      <c r="B17" s="24"/>
      <c r="C17" s="1" t="s">
        <v>31</v>
      </c>
      <c r="E17" s="82">
        <f>IF(E11=0,0,(IF(E11&gt;=100,tab!E33,tab!E32)))</f>
        <v>105440.42</v>
      </c>
      <c r="F17" s="82">
        <f>IF(F11=0,0,(IF(F11&gt;=100,tab!F33,tab!F32)))</f>
        <v>105424.403600202</v>
      </c>
      <c r="G17" s="82">
        <f>IF(G11=0,0,(IF(G11&gt;=100,tab!G33,tab!G32)))</f>
        <v>105424.403600202</v>
      </c>
      <c r="H17" s="82">
        <f>IF(H11=0,0,(IF(H11&gt;=100,tab!H33,tab!H32)))</f>
        <v>105424.403600202</v>
      </c>
      <c r="I17" s="82">
        <f>IF(I11=0,0,(IF(I11&gt;=100,tab!I33,tab!I32)))</f>
        <v>105424.403600202</v>
      </c>
      <c r="J17" s="82">
        <f>IF(J11=0,0,(IF(J11&gt;=100,tab!J33,tab!J32)))</f>
        <v>105424.403600202</v>
      </c>
      <c r="K17" s="25"/>
    </row>
    <row r="18" spans="2:11" x14ac:dyDescent="0.3">
      <c r="B18" s="24"/>
      <c r="E18" s="182">
        <f t="shared" ref="E18:J18" si="1">SUM(E16:E17)</f>
        <v>807497.42</v>
      </c>
      <c r="F18" s="182">
        <f t="shared" si="1"/>
        <v>807374.76114190184</v>
      </c>
      <c r="G18" s="182">
        <f t="shared" si="1"/>
        <v>807374.76114190184</v>
      </c>
      <c r="H18" s="182">
        <f t="shared" si="1"/>
        <v>807374.76114190184</v>
      </c>
      <c r="I18" s="182">
        <f t="shared" si="1"/>
        <v>807374.76114190184</v>
      </c>
      <c r="J18" s="182">
        <f t="shared" si="1"/>
        <v>807374.76114190184</v>
      </c>
      <c r="K18" s="25"/>
    </row>
    <row r="19" spans="2:11" x14ac:dyDescent="0.3">
      <c r="B19" s="24"/>
      <c r="C19" s="3" t="s">
        <v>158</v>
      </c>
      <c r="D19" s="3"/>
      <c r="E19" s="82"/>
      <c r="F19" s="82"/>
      <c r="G19" s="82"/>
      <c r="H19" s="82"/>
      <c r="I19" s="82"/>
      <c r="J19" s="82"/>
      <c r="K19" s="25"/>
    </row>
    <row r="20" spans="2:11" x14ac:dyDescent="0.3">
      <c r="B20" s="24"/>
      <c r="C20" s="1" t="s">
        <v>159</v>
      </c>
      <c r="E20" s="82">
        <f>E13*tab!E34</f>
        <v>21661.42</v>
      </c>
      <c r="F20" s="82">
        <f>F13*tab!F34</f>
        <v>21658.129630301999</v>
      </c>
      <c r="G20" s="82">
        <f>G13*tab!G34</f>
        <v>21658.129630301999</v>
      </c>
      <c r="H20" s="82">
        <f>H13*tab!H34</f>
        <v>21658.129630301999</v>
      </c>
      <c r="I20" s="82">
        <f>I13*tab!I34</f>
        <v>21658.129630301999</v>
      </c>
      <c r="J20" s="82">
        <f>J13*tab!J34</f>
        <v>21658.129630301999</v>
      </c>
      <c r="K20" s="25"/>
    </row>
    <row r="21" spans="2:11" x14ac:dyDescent="0.3">
      <c r="B21" s="24"/>
      <c r="C21" s="1" t="s">
        <v>42</v>
      </c>
      <c r="E21" s="82">
        <f>E12*tab!E35</f>
        <v>17511.849999999999</v>
      </c>
      <c r="F21" s="82">
        <f>F12*tab!F35</f>
        <v>17509.189949985001</v>
      </c>
      <c r="G21" s="82">
        <f>G12*tab!G35</f>
        <v>17509.189949985001</v>
      </c>
      <c r="H21" s="82">
        <f>H12*tab!H35</f>
        <v>17509.189949985001</v>
      </c>
      <c r="I21" s="82">
        <f>I12*tab!I35</f>
        <v>17509.189949985001</v>
      </c>
      <c r="J21" s="82">
        <f>J12*tab!J35</f>
        <v>17509.189949985001</v>
      </c>
      <c r="K21" s="25"/>
    </row>
    <row r="22" spans="2:11" x14ac:dyDescent="0.3">
      <c r="B22" s="24"/>
      <c r="C22" s="1" t="s">
        <v>160</v>
      </c>
      <c r="E22" s="82">
        <f>E11*tab!E36</f>
        <v>663553</v>
      </c>
      <c r="F22" s="82">
        <f>F11*tab!F36</f>
        <v>663452.20629929996</v>
      </c>
      <c r="G22" s="82">
        <f>G11*tab!G36</f>
        <v>663452.20629929996</v>
      </c>
      <c r="H22" s="82">
        <f>H11*tab!H36</f>
        <v>663452.20629929996</v>
      </c>
      <c r="I22" s="82">
        <f>I11*tab!I36</f>
        <v>663452.20629929996</v>
      </c>
      <c r="J22" s="82">
        <f>J11*tab!J36</f>
        <v>663452.20629929996</v>
      </c>
      <c r="K22" s="25"/>
    </row>
    <row r="23" spans="2:11" x14ac:dyDescent="0.3">
      <c r="B23" s="24"/>
      <c r="C23" s="1" t="s">
        <v>161</v>
      </c>
      <c r="E23" s="2">
        <v>0</v>
      </c>
      <c r="F23" s="93">
        <v>0</v>
      </c>
      <c r="G23" s="93">
        <v>0</v>
      </c>
      <c r="H23" s="93">
        <v>0</v>
      </c>
      <c r="I23" s="93">
        <v>0</v>
      </c>
      <c r="J23" s="93">
        <v>0</v>
      </c>
      <c r="K23" s="25"/>
    </row>
    <row r="24" spans="2:11" x14ac:dyDescent="0.3">
      <c r="B24" s="24"/>
      <c r="C24" s="150" t="s">
        <v>46</v>
      </c>
      <c r="E24" s="2">
        <f>E11*tab!E89</f>
        <v>10003</v>
      </c>
      <c r="F24" s="93">
        <f>F11*tab!F89</f>
        <v>10003</v>
      </c>
      <c r="G24" s="93">
        <v>0</v>
      </c>
      <c r="H24" s="93">
        <v>0</v>
      </c>
      <c r="I24" s="93">
        <v>0</v>
      </c>
      <c r="J24" s="93">
        <v>0</v>
      </c>
      <c r="K24" s="25"/>
    </row>
    <row r="25" spans="2:11" x14ac:dyDescent="0.3">
      <c r="B25" s="24"/>
      <c r="C25" s="61"/>
      <c r="E25" s="2"/>
      <c r="F25" s="93"/>
      <c r="G25" s="93">
        <v>0</v>
      </c>
      <c r="H25" s="93">
        <v>0</v>
      </c>
      <c r="I25" s="93">
        <v>0</v>
      </c>
      <c r="J25" s="93">
        <v>0</v>
      </c>
      <c r="K25" s="25"/>
    </row>
    <row r="26" spans="2:11" x14ac:dyDescent="0.3">
      <c r="B26" s="24"/>
      <c r="C26" s="61"/>
      <c r="E26" s="2"/>
      <c r="F26" s="93"/>
      <c r="G26" s="93">
        <f>G11*tab!G89</f>
        <v>0</v>
      </c>
      <c r="H26" s="93">
        <f>H11*tab!H89</f>
        <v>0</v>
      </c>
      <c r="I26" s="93">
        <f>I11*tab!I89</f>
        <v>0</v>
      </c>
      <c r="J26" s="93">
        <f>J11*tab!J89</f>
        <v>0</v>
      </c>
      <c r="K26" s="25"/>
    </row>
    <row r="27" spans="2:11" x14ac:dyDescent="0.3">
      <c r="B27" s="24"/>
      <c r="E27" s="182">
        <f>SUM(E20:E26)</f>
        <v>712729.27</v>
      </c>
      <c r="F27" s="182">
        <f>SUM(F20:F26)</f>
        <v>712622.52587958693</v>
      </c>
      <c r="G27" s="182">
        <f t="shared" ref="G27:J27" si="2">SUM(G20:G26)</f>
        <v>702619.52587958693</v>
      </c>
      <c r="H27" s="182">
        <f t="shared" si="2"/>
        <v>702619.52587958693</v>
      </c>
      <c r="I27" s="182">
        <f t="shared" si="2"/>
        <v>702619.52587958693</v>
      </c>
      <c r="J27" s="182">
        <f t="shared" si="2"/>
        <v>702619.52587958693</v>
      </c>
      <c r="K27" s="25"/>
    </row>
    <row r="28" spans="2:11" x14ac:dyDescent="0.3">
      <c r="B28" s="24"/>
      <c r="C28" s="3" t="s">
        <v>162</v>
      </c>
      <c r="E28" s="2"/>
      <c r="F28" s="82"/>
      <c r="G28" s="2"/>
      <c r="H28" s="2"/>
      <c r="I28" s="2"/>
      <c r="J28" s="2"/>
      <c r="K28" s="25"/>
    </row>
    <row r="29" spans="2:11" x14ac:dyDescent="0.3">
      <c r="B29" s="24"/>
      <c r="C29" s="58" t="s">
        <v>48</v>
      </c>
      <c r="E29" s="2">
        <v>0</v>
      </c>
      <c r="F29" s="93">
        <v>0</v>
      </c>
      <c r="G29" s="93">
        <v>0</v>
      </c>
      <c r="H29" s="93">
        <v>0</v>
      </c>
      <c r="I29" s="93">
        <v>0</v>
      </c>
      <c r="J29" s="93">
        <v>0</v>
      </c>
      <c r="K29" s="25"/>
    </row>
    <row r="30" spans="2:11" x14ac:dyDescent="0.3">
      <c r="B30" s="24"/>
      <c r="C30" s="58" t="s">
        <v>163</v>
      </c>
      <c r="E30" s="2">
        <v>0</v>
      </c>
      <c r="F30" s="93">
        <v>0</v>
      </c>
      <c r="G30" s="93">
        <v>0</v>
      </c>
      <c r="H30" s="93">
        <v>0</v>
      </c>
      <c r="I30" s="93">
        <v>0</v>
      </c>
      <c r="J30" s="93">
        <v>0</v>
      </c>
      <c r="K30" s="25"/>
    </row>
    <row r="31" spans="2:11" x14ac:dyDescent="0.3">
      <c r="B31" s="24"/>
      <c r="E31" s="2">
        <f t="shared" ref="E31:J31" si="3">SUM(E29:E30)</f>
        <v>0</v>
      </c>
      <c r="F31" s="182">
        <f t="shared" si="3"/>
        <v>0</v>
      </c>
      <c r="G31" s="182">
        <f t="shared" si="3"/>
        <v>0</v>
      </c>
      <c r="H31" s="182">
        <f t="shared" si="3"/>
        <v>0</v>
      </c>
      <c r="I31" s="182">
        <f t="shared" si="3"/>
        <v>0</v>
      </c>
      <c r="J31" s="182">
        <f t="shared" si="3"/>
        <v>0</v>
      </c>
      <c r="K31" s="25"/>
    </row>
    <row r="32" spans="2:11" x14ac:dyDescent="0.3">
      <c r="B32" s="24"/>
      <c r="E32" s="2"/>
      <c r="G32" s="2"/>
      <c r="H32" s="2"/>
      <c r="I32" s="2"/>
      <c r="J32" s="2"/>
      <c r="K32" s="25"/>
    </row>
    <row r="33" spans="2:13" x14ac:dyDescent="0.3">
      <c r="B33" s="24"/>
      <c r="C33" s="3" t="s">
        <v>164</v>
      </c>
      <c r="D33" s="3"/>
      <c r="E33" s="203">
        <f t="shared" ref="E33:J33" si="4">E18+E27+E31</f>
        <v>1520226.69</v>
      </c>
      <c r="F33" s="203">
        <f t="shared" si="4"/>
        <v>1519997.2870214889</v>
      </c>
      <c r="G33" s="203">
        <f t="shared" si="4"/>
        <v>1509994.2870214889</v>
      </c>
      <c r="H33" s="203">
        <f t="shared" si="4"/>
        <v>1509994.2870214889</v>
      </c>
      <c r="I33" s="203">
        <f t="shared" si="4"/>
        <v>1509994.2870214889</v>
      </c>
      <c r="J33" s="203">
        <f t="shared" si="4"/>
        <v>1509994.2870214889</v>
      </c>
      <c r="K33" s="25"/>
    </row>
    <row r="34" spans="2:13" x14ac:dyDescent="0.3">
      <c r="B34" s="24"/>
      <c r="C34" s="3"/>
      <c r="D34" s="3"/>
      <c r="E34" s="3"/>
      <c r="F34" s="189"/>
      <c r="G34" s="189"/>
      <c r="H34" s="189"/>
      <c r="I34" s="189"/>
      <c r="J34" s="189"/>
      <c r="K34" s="25"/>
    </row>
    <row r="35" spans="2:13" x14ac:dyDescent="0.3">
      <c r="B35" s="24"/>
      <c r="C35" s="3"/>
      <c r="D35" s="3"/>
      <c r="E35" s="3"/>
      <c r="F35" s="189"/>
      <c r="G35" s="189"/>
      <c r="H35" s="189"/>
      <c r="I35" s="189"/>
      <c r="J35" s="189"/>
      <c r="K35" s="25"/>
    </row>
    <row r="36" spans="2:13" x14ac:dyDescent="0.3">
      <c r="B36" s="24"/>
      <c r="C36" s="225" t="s">
        <v>50</v>
      </c>
      <c r="G36" s="2"/>
      <c r="H36" s="2"/>
      <c r="I36" s="2"/>
      <c r="J36" s="2"/>
      <c r="K36" s="25"/>
    </row>
    <row r="37" spans="2:13" x14ac:dyDescent="0.3">
      <c r="B37" s="24"/>
      <c r="C37" s="3"/>
      <c r="G37" s="2"/>
      <c r="H37" s="2"/>
      <c r="I37" s="2"/>
      <c r="J37" s="2"/>
      <c r="K37" s="25"/>
    </row>
    <row r="38" spans="2:13" x14ac:dyDescent="0.3">
      <c r="B38" s="24"/>
      <c r="C38" s="1" t="s">
        <v>51</v>
      </c>
      <c r="E38" s="85">
        <v>100</v>
      </c>
      <c r="G38" s="86" t="s">
        <v>52</v>
      </c>
      <c r="H38" s="87"/>
      <c r="I38" s="87"/>
      <c r="J38" s="87" t="s">
        <v>53</v>
      </c>
      <c r="K38" s="190" t="s">
        <v>54</v>
      </c>
      <c r="M38" s="8" t="s">
        <v>55</v>
      </c>
    </row>
    <row r="39" spans="2:13" x14ac:dyDescent="0.3">
      <c r="B39" s="24"/>
      <c r="C39" s="1" t="s">
        <v>56</v>
      </c>
      <c r="E39" s="85">
        <v>101</v>
      </c>
      <c r="G39" s="86" t="s">
        <v>52</v>
      </c>
      <c r="H39" s="87"/>
      <c r="I39" s="87"/>
      <c r="J39" s="87" t="s">
        <v>57</v>
      </c>
      <c r="K39" s="190" t="s">
        <v>58</v>
      </c>
      <c r="M39" s="8" t="s">
        <v>55</v>
      </c>
    </row>
    <row r="40" spans="2:13" x14ac:dyDescent="0.3">
      <c r="B40" s="24"/>
      <c r="F40" s="36"/>
      <c r="G40" s="36"/>
      <c r="H40" s="36"/>
      <c r="I40" s="36"/>
      <c r="J40" s="36"/>
      <c r="K40" s="190"/>
      <c r="M40" s="50"/>
    </row>
    <row r="41" spans="2:13" x14ac:dyDescent="0.3">
      <c r="B41" s="24"/>
      <c r="C41" s="1" t="s">
        <v>59</v>
      </c>
      <c r="E41" s="36">
        <f>E16+E17+E20+E21+E22</f>
        <v>1510223.69</v>
      </c>
      <c r="F41" s="36"/>
      <c r="G41" s="36"/>
      <c r="H41" s="36"/>
      <c r="I41" s="36"/>
      <c r="J41" s="36"/>
      <c r="K41" s="190" t="s">
        <v>60</v>
      </c>
      <c r="M41" s="50"/>
    </row>
    <row r="42" spans="2:13" x14ac:dyDescent="0.3">
      <c r="B42" s="24"/>
      <c r="C42" s="1" t="s">
        <v>61</v>
      </c>
      <c r="E42" s="145">
        <f>E11</f>
        <v>100</v>
      </c>
      <c r="F42" s="145"/>
      <c r="G42" s="145"/>
      <c r="H42" s="145"/>
      <c r="I42" s="36"/>
      <c r="J42" s="36"/>
      <c r="K42" s="190" t="s">
        <v>62</v>
      </c>
      <c r="M42" s="50"/>
    </row>
    <row r="43" spans="2:13" x14ac:dyDescent="0.3">
      <c r="B43" s="24"/>
      <c r="F43" s="36"/>
      <c r="G43" s="36"/>
      <c r="H43" s="36"/>
      <c r="I43" s="36"/>
      <c r="J43" s="36"/>
      <c r="K43" s="190"/>
      <c r="M43" s="50"/>
    </row>
    <row r="44" spans="2:13" x14ac:dyDescent="0.3">
      <c r="B44" s="24"/>
      <c r="C44" s="1" t="s">
        <v>165</v>
      </c>
      <c r="E44" s="36">
        <f>E16+E17+E20+E21+E22</f>
        <v>1510223.69</v>
      </c>
      <c r="F44" s="36">
        <f>F16+F17+F20+F21+F22</f>
        <v>1509994.2870214889</v>
      </c>
      <c r="G44" s="36">
        <f>G16+G17+G20+G21+G22</f>
        <v>1509994.2870214889</v>
      </c>
      <c r="H44" s="36"/>
      <c r="J44" s="2"/>
      <c r="K44" s="190" t="s">
        <v>64</v>
      </c>
    </row>
    <row r="45" spans="2:13" x14ac:dyDescent="0.3">
      <c r="B45" s="24"/>
      <c r="C45" s="1" t="s">
        <v>166</v>
      </c>
      <c r="E45" s="107">
        <f>E11</f>
        <v>100</v>
      </c>
      <c r="F45" s="107">
        <f>F11</f>
        <v>100</v>
      </c>
      <c r="G45" s="107">
        <f>G11</f>
        <v>100</v>
      </c>
      <c r="H45" s="107"/>
      <c r="J45" s="2"/>
      <c r="K45" s="190" t="s">
        <v>66</v>
      </c>
    </row>
    <row r="46" spans="2:13" x14ac:dyDescent="0.3">
      <c r="B46" s="24"/>
      <c r="E46" s="107"/>
      <c r="F46" s="107"/>
      <c r="G46" s="107"/>
      <c r="H46" s="107"/>
      <c r="J46" s="2"/>
      <c r="K46" s="190"/>
    </row>
    <row r="47" spans="2:13" x14ac:dyDescent="0.3">
      <c r="B47" s="24"/>
      <c r="C47" s="1" t="s">
        <v>167</v>
      </c>
      <c r="E47" s="36">
        <f>E44/E45</f>
        <v>15102.2369</v>
      </c>
      <c r="F47" s="36">
        <f>F44/F45</f>
        <v>15099.942870214889</v>
      </c>
      <c r="G47" s="36">
        <f>G44/G45</f>
        <v>15099.942870214889</v>
      </c>
      <c r="H47" s="36"/>
      <c r="I47" s="209" t="s">
        <v>68</v>
      </c>
      <c r="J47" s="2"/>
      <c r="K47" s="190" t="s">
        <v>69</v>
      </c>
    </row>
    <row r="48" spans="2:13" x14ac:dyDescent="0.3">
      <c r="B48" s="24"/>
      <c r="C48" s="1" t="s">
        <v>168</v>
      </c>
      <c r="E48" s="88">
        <f>(($E$38/$E$39*E41)/E42)</f>
        <v>14952.709801980196</v>
      </c>
      <c r="F48" s="88">
        <f>E48*(1+tab!F85)</f>
        <v>14976.634137663365</v>
      </c>
      <c r="G48" s="88">
        <f>E48*(1+tab!G85)</f>
        <v>14976.634137663365</v>
      </c>
      <c r="H48" s="88"/>
      <c r="I48" s="133" t="s">
        <v>71</v>
      </c>
      <c r="J48" s="2"/>
      <c r="K48" s="190" t="s">
        <v>72</v>
      </c>
    </row>
    <row r="49" spans="2:11" x14ac:dyDescent="0.3">
      <c r="B49" s="24"/>
      <c r="C49" s="1" t="s">
        <v>73</v>
      </c>
      <c r="E49" s="102">
        <f>tab!E81</f>
        <v>0.75</v>
      </c>
      <c r="F49" s="102">
        <f>tab!F81</f>
        <v>0.5</v>
      </c>
      <c r="G49" s="102">
        <f>tab!G81</f>
        <v>0.25</v>
      </c>
      <c r="H49" s="102"/>
      <c r="I49" s="134"/>
      <c r="J49" s="2"/>
      <c r="K49" s="190" t="s">
        <v>74</v>
      </c>
    </row>
    <row r="50" spans="2:11" x14ac:dyDescent="0.3">
      <c r="B50" s="24"/>
      <c r="E50" s="89"/>
      <c r="F50" s="89"/>
      <c r="G50" s="89"/>
      <c r="H50" s="89"/>
      <c r="I50" s="134"/>
      <c r="J50" s="2"/>
      <c r="K50" s="25"/>
    </row>
    <row r="51" spans="2:11" x14ac:dyDescent="0.3">
      <c r="B51" s="24"/>
      <c r="C51" s="1" t="s">
        <v>169</v>
      </c>
      <c r="E51" s="88">
        <f>(E48-E47)*E45</f>
        <v>-14952.709801980382</v>
      </c>
      <c r="F51" s="88">
        <f t="shared" ref="F51:G51" si="5">(F48-F47)*F45</f>
        <v>-12330.873255152437</v>
      </c>
      <c r="G51" s="88">
        <f t="shared" si="5"/>
        <v>-12330.873255152437</v>
      </c>
      <c r="H51" s="88"/>
      <c r="I51" s="134" t="s">
        <v>76</v>
      </c>
      <c r="J51" s="2"/>
      <c r="K51" s="25"/>
    </row>
    <row r="52" spans="2:11" x14ac:dyDescent="0.3">
      <c r="B52" s="24"/>
      <c r="C52" s="1" t="s">
        <v>170</v>
      </c>
      <c r="E52" s="36">
        <f>(E48-E47)*E49*E45</f>
        <v>-11214.532351485286</v>
      </c>
      <c r="F52" s="36">
        <f t="shared" ref="F52:G52" si="6">(F48-F47)*F49*F45</f>
        <v>-6165.4366275762186</v>
      </c>
      <c r="G52" s="36">
        <f t="shared" si="6"/>
        <v>-3082.7183137881093</v>
      </c>
      <c r="H52" s="36"/>
      <c r="I52" s="134" t="s">
        <v>78</v>
      </c>
      <c r="J52" s="2"/>
      <c r="K52" s="25"/>
    </row>
    <row r="53" spans="2:11" s="49" customFormat="1" hidden="1" x14ac:dyDescent="0.3">
      <c r="B53" s="183"/>
      <c r="C53" s="210" t="s">
        <v>79</v>
      </c>
      <c r="E53" s="90">
        <f>(((E47*E45)+E52)-(E48*E45))</f>
        <v>3738.1774504950736</v>
      </c>
      <c r="F53" s="90">
        <f t="shared" ref="F53:G53" si="7">(((F47*F45)+F52)-(F48*F45))</f>
        <v>6165.4366275763605</v>
      </c>
      <c r="G53" s="90">
        <f t="shared" si="7"/>
        <v>9248.1549413644243</v>
      </c>
      <c r="H53" s="90"/>
      <c r="I53" s="211"/>
      <c r="J53" s="211"/>
      <c r="K53" s="187"/>
    </row>
    <row r="54" spans="2:11" s="49" customFormat="1" hidden="1" x14ac:dyDescent="0.3">
      <c r="B54" s="183"/>
      <c r="C54" s="210" t="s">
        <v>80</v>
      </c>
      <c r="E54" s="215">
        <f>tab!E82</f>
        <v>-0.01</v>
      </c>
      <c r="F54" s="215">
        <f>tab!F82</f>
        <v>-0.02</v>
      </c>
      <c r="G54" s="215">
        <f>tab!G82</f>
        <v>-0.03</v>
      </c>
      <c r="H54" s="94"/>
      <c r="I54" s="211"/>
      <c r="J54" s="211"/>
      <c r="K54" s="187"/>
    </row>
    <row r="55" spans="2:11" s="49" customFormat="1" hidden="1" x14ac:dyDescent="0.3">
      <c r="B55" s="183"/>
      <c r="C55" s="210" t="s">
        <v>81</v>
      </c>
      <c r="E55" s="90">
        <f>(E48*E45)*E54</f>
        <v>-14952.709801980196</v>
      </c>
      <c r="F55" s="90">
        <f t="shared" ref="F55:G55" si="8">(F48*F45)*F54</f>
        <v>-29953.268275326729</v>
      </c>
      <c r="G55" s="90">
        <f t="shared" si="8"/>
        <v>-44929.902412990094</v>
      </c>
      <c r="H55" s="90"/>
      <c r="I55" s="211"/>
      <c r="J55" s="211"/>
      <c r="K55" s="187"/>
    </row>
    <row r="56" spans="2:11" s="49" customFormat="1" hidden="1" x14ac:dyDescent="0.3">
      <c r="B56" s="183"/>
      <c r="C56" s="184" t="s">
        <v>82</v>
      </c>
      <c r="D56" s="185"/>
      <c r="E56" s="91">
        <f>IF(E53&gt;E55,0,((E53-E55)*-1))</f>
        <v>0</v>
      </c>
      <c r="F56" s="91">
        <f t="shared" ref="F56:G56" si="9">IF(F53&gt;F55,0,((F53-F55)*-1))</f>
        <v>0</v>
      </c>
      <c r="G56" s="91">
        <f t="shared" si="9"/>
        <v>0</v>
      </c>
      <c r="H56" s="91"/>
      <c r="I56" s="211"/>
      <c r="J56" s="211"/>
      <c r="K56" s="187"/>
    </row>
    <row r="57" spans="2:11" s="49" customFormat="1" hidden="1" x14ac:dyDescent="0.3">
      <c r="B57" s="183"/>
      <c r="C57" s="210" t="s">
        <v>83</v>
      </c>
      <c r="E57" s="215">
        <f>tab!E83</f>
        <v>0.01</v>
      </c>
      <c r="F57" s="215">
        <f>tab!F83</f>
        <v>0.02</v>
      </c>
      <c r="G57" s="215">
        <f>tab!G83</f>
        <v>0.03</v>
      </c>
      <c r="H57" s="94"/>
      <c r="I57" s="211"/>
      <c r="J57" s="211"/>
      <c r="K57" s="187"/>
    </row>
    <row r="58" spans="2:11" s="49" customFormat="1" hidden="1" x14ac:dyDescent="0.3">
      <c r="B58" s="183"/>
      <c r="C58" s="210" t="s">
        <v>84</v>
      </c>
      <c r="E58" s="90">
        <f>(E48*E45)*E57</f>
        <v>14952.709801980196</v>
      </c>
      <c r="F58" s="90">
        <f t="shared" ref="F58:G58" si="10">(F48*F45)*F57</f>
        <v>29953.268275326729</v>
      </c>
      <c r="G58" s="90">
        <f t="shared" si="10"/>
        <v>44929.902412990094</v>
      </c>
      <c r="H58" s="90"/>
      <c r="I58" s="211"/>
      <c r="J58" s="211"/>
      <c r="K58" s="187"/>
    </row>
    <row r="59" spans="2:11" s="49" customFormat="1" hidden="1" x14ac:dyDescent="0.3">
      <c r="B59" s="183"/>
      <c r="C59" s="184" t="s">
        <v>85</v>
      </c>
      <c r="D59" s="185"/>
      <c r="E59" s="91">
        <f>IF(E53&lt;E58,0,(E58-E53)*1)</f>
        <v>0</v>
      </c>
      <c r="F59" s="91">
        <f t="shared" ref="F59:G59" si="11">IF(F53&lt;F58,0,(F58-F53)*1)</f>
        <v>0</v>
      </c>
      <c r="G59" s="91">
        <f t="shared" si="11"/>
        <v>0</v>
      </c>
      <c r="H59" s="91"/>
      <c r="I59" s="211"/>
      <c r="J59" s="211"/>
      <c r="K59" s="187"/>
    </row>
    <row r="60" spans="2:11" x14ac:dyDescent="0.3">
      <c r="B60" s="24"/>
      <c r="C60" s="1" t="s">
        <v>86</v>
      </c>
      <c r="E60" s="36">
        <f>IF(E59=0,E56,E59)</f>
        <v>0</v>
      </c>
      <c r="F60" s="36">
        <f t="shared" ref="F60:G60" si="12">IF(F59=0,F56,F59)</f>
        <v>0</v>
      </c>
      <c r="G60" s="36">
        <f t="shared" si="12"/>
        <v>0</v>
      </c>
      <c r="H60" s="36"/>
      <c r="I60" s="2"/>
      <c r="J60" s="2"/>
      <c r="K60" s="25"/>
    </row>
    <row r="61" spans="2:11" x14ac:dyDescent="0.3">
      <c r="B61" s="24"/>
      <c r="C61" s="1" t="s">
        <v>87</v>
      </c>
      <c r="E61" s="92">
        <f>E52+E60</f>
        <v>-11214.532351485286</v>
      </c>
      <c r="F61" s="92">
        <f>F52+F60</f>
        <v>-6165.4366275762186</v>
      </c>
      <c r="G61" s="92">
        <f>G52+G60</f>
        <v>-3082.7183137881093</v>
      </c>
      <c r="H61" s="92"/>
      <c r="I61" s="2"/>
      <c r="J61" s="2"/>
      <c r="K61" s="25"/>
    </row>
    <row r="62" spans="2:11" x14ac:dyDescent="0.3">
      <c r="B62" s="24"/>
      <c r="G62" s="2"/>
      <c r="H62" s="2"/>
      <c r="I62" s="2"/>
      <c r="J62" s="2"/>
      <c r="K62" s="25"/>
    </row>
    <row r="63" spans="2:11" x14ac:dyDescent="0.3">
      <c r="B63" s="24"/>
      <c r="C63" s="3" t="s">
        <v>88</v>
      </c>
      <c r="E63" s="203">
        <f t="shared" ref="E63:J63" si="13">E33+E61</f>
        <v>1509012.1576485147</v>
      </c>
      <c r="F63" s="203">
        <f t="shared" si="13"/>
        <v>1513831.8503939128</v>
      </c>
      <c r="G63" s="203">
        <f t="shared" si="13"/>
        <v>1506911.5687077008</v>
      </c>
      <c r="H63" s="203">
        <f t="shared" si="13"/>
        <v>1509994.2870214889</v>
      </c>
      <c r="I63" s="203">
        <f t="shared" si="13"/>
        <v>1509994.2870214889</v>
      </c>
      <c r="J63" s="203">
        <f t="shared" si="13"/>
        <v>1509994.2870214889</v>
      </c>
      <c r="K63" s="25"/>
    </row>
    <row r="64" spans="2:11" x14ac:dyDescent="0.3">
      <c r="B64" s="26"/>
      <c r="C64" s="31"/>
      <c r="D64" s="31"/>
      <c r="E64" s="31"/>
      <c r="F64" s="212"/>
      <c r="G64" s="31"/>
      <c r="H64" s="31"/>
      <c r="I64" s="31"/>
      <c r="J64" s="31"/>
      <c r="K64" s="27"/>
    </row>
    <row r="66" spans="3:10" ht="14.4" x14ac:dyDescent="0.3">
      <c r="C66" s="130"/>
      <c r="D66" s="7"/>
      <c r="E66" s="7"/>
      <c r="F66" s="151"/>
      <c r="G66" s="135"/>
      <c r="H66" s="2"/>
      <c r="I66" s="2"/>
      <c r="J66" s="2"/>
    </row>
  </sheetData>
  <sheetProtection algorithmName="SHA-512" hashValue="/XN3ABbhkddhD7kLcjQeewEW4ASHGjTDB3lWhtjZaRPaF7dUHTCQF1oMBZfuUYo/V3LQfQjUuE4cbq0YRXECGg==" saltValue="oiGn2h3OmKe+/Ddp1hlcRg==" spinCount="100000" sheet="1" objects="1" scenarios="1"/>
  <mergeCells count="2">
    <mergeCell ref="F5:G5"/>
    <mergeCell ref="F6:G6"/>
  </mergeCells>
  <hyperlinks>
    <hyperlink ref="G38" r:id="rId1" xr:uid="{8111884E-2F11-402E-BE95-F92B966E4348}"/>
    <hyperlink ref="G39" r:id="rId2" xr:uid="{F9758861-E18E-4110-9905-55A785B975C9}"/>
    <hyperlink ref="C36" r:id="rId3" xr:uid="{1319A559-EE16-4EBD-850E-CDA9A88F475E}"/>
  </hyperlinks>
  <pageMargins left="0.7" right="0.7" top="0.75" bottom="0.75" header="0.3" footer="0.3"/>
  <pageSetup paperSize="9" scale="60"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A6DA-C688-44DE-A2FF-2519D4492460}">
  <sheetPr>
    <tabColor theme="9" tint="0.79998168889431442"/>
  </sheetPr>
  <dimension ref="B2:G17"/>
  <sheetViews>
    <sheetView zoomScale="85" zoomScaleNormal="85" workbookViewId="0"/>
  </sheetViews>
  <sheetFormatPr defaultColWidth="8.6640625" defaultRowHeight="13.8" x14ac:dyDescent="0.3"/>
  <cols>
    <col min="1" max="2" width="2.5546875" style="1" customWidth="1"/>
    <col min="3" max="3" width="56.109375" style="1" customWidth="1"/>
    <col min="4" max="4" width="1.5546875" style="1" customWidth="1"/>
    <col min="5" max="6" width="14.6640625" style="1" customWidth="1"/>
    <col min="7" max="7" width="2.5546875" style="1" customWidth="1"/>
    <col min="8" max="10" width="14.6640625" style="1" customWidth="1"/>
    <col min="11" max="12" width="2.5546875" style="1" customWidth="1"/>
    <col min="13" max="16384" width="8.6640625" style="1"/>
  </cols>
  <sheetData>
    <row r="2" spans="2:7" ht="15.6" x14ac:dyDescent="0.3">
      <c r="B2" s="9" t="s">
        <v>171</v>
      </c>
    </row>
    <row r="4" spans="2:7" x14ac:dyDescent="0.3">
      <c r="B4" s="37"/>
      <c r="C4" s="38"/>
      <c r="D4" s="38"/>
      <c r="E4" s="38"/>
      <c r="F4" s="38"/>
      <c r="G4" s="39"/>
    </row>
    <row r="5" spans="2:7" x14ac:dyDescent="0.3">
      <c r="B5" s="40"/>
      <c r="C5" s="254" t="s">
        <v>172</v>
      </c>
      <c r="E5" s="46">
        <f>tab!F2</f>
        <v>2024</v>
      </c>
      <c r="G5" s="41"/>
    </row>
    <row r="6" spans="2:7" x14ac:dyDescent="0.3">
      <c r="B6" s="40"/>
      <c r="C6" s="254"/>
      <c r="E6" s="46"/>
      <c r="G6" s="41"/>
    </row>
    <row r="7" spans="2:7" x14ac:dyDescent="0.3">
      <c r="B7" s="40"/>
      <c r="G7" s="41"/>
    </row>
    <row r="8" spans="2:7" x14ac:dyDescent="0.3">
      <c r="B8" s="40"/>
      <c r="C8" s="1" t="s">
        <v>173</v>
      </c>
      <c r="E8" s="56"/>
      <c r="F8" s="2">
        <f>IF(E8&lt;4,0,(E8*tab!$F$37)*3/12)</f>
        <v>0</v>
      </c>
      <c r="G8" s="41"/>
    </row>
    <row r="9" spans="2:7" x14ac:dyDescent="0.3">
      <c r="B9" s="40"/>
      <c r="C9" s="1" t="s">
        <v>174</v>
      </c>
      <c r="E9" s="56"/>
      <c r="F9" s="2">
        <f>IF(E9&lt;4,0,(E9*tab!$F$37)*3/12)</f>
        <v>0</v>
      </c>
      <c r="G9" s="41"/>
    </row>
    <row r="10" spans="2:7" x14ac:dyDescent="0.3">
      <c r="B10" s="40"/>
      <c r="C10" s="1" t="s">
        <v>175</v>
      </c>
      <c r="E10" s="56"/>
      <c r="F10" s="2">
        <f>IF(E10&lt;4,0,(E10*tab!$F$37)*3/12)</f>
        <v>0</v>
      </c>
      <c r="G10" s="41"/>
    </row>
    <row r="11" spans="2:7" x14ac:dyDescent="0.3">
      <c r="B11" s="40"/>
      <c r="C11" s="1" t="s">
        <v>176</v>
      </c>
      <c r="E11" s="56"/>
      <c r="F11" s="2">
        <f>IF(E11&lt;4,0,(E11*tab!$F$37)*3/12)</f>
        <v>0</v>
      </c>
      <c r="G11" s="41"/>
    </row>
    <row r="12" spans="2:7" x14ac:dyDescent="0.3">
      <c r="B12" s="40"/>
      <c r="F12" s="2"/>
      <c r="G12" s="41"/>
    </row>
    <row r="13" spans="2:7" x14ac:dyDescent="0.3">
      <c r="B13" s="40"/>
      <c r="C13" s="1" t="s">
        <v>111</v>
      </c>
      <c r="E13" s="56" t="s">
        <v>177</v>
      </c>
      <c r="F13" s="100">
        <f>IF(E13="nee",0,tab!F38)</f>
        <v>0</v>
      </c>
      <c r="G13" s="41"/>
    </row>
    <row r="14" spans="2:7" x14ac:dyDescent="0.3">
      <c r="B14" s="40"/>
      <c r="F14" s="2"/>
      <c r="G14" s="41"/>
    </row>
    <row r="15" spans="2:7" x14ac:dyDescent="0.3">
      <c r="B15" s="40"/>
      <c r="C15" s="3" t="s">
        <v>113</v>
      </c>
      <c r="D15" s="3"/>
      <c r="E15" s="3"/>
      <c r="F15" s="6">
        <f>SUM(F8:F13)</f>
        <v>0</v>
      </c>
      <c r="G15" s="41"/>
    </row>
    <row r="16" spans="2:7" x14ac:dyDescent="0.3">
      <c r="B16" s="40"/>
      <c r="C16" s="8"/>
      <c r="D16" s="3"/>
      <c r="E16" s="3"/>
      <c r="F16" s="6"/>
      <c r="G16" s="41"/>
    </row>
    <row r="17" spans="2:7" x14ac:dyDescent="0.3">
      <c r="B17" s="42"/>
      <c r="C17" s="43"/>
      <c r="D17" s="43"/>
      <c r="E17" s="43"/>
      <c r="F17" s="43"/>
      <c r="G17" s="44"/>
    </row>
  </sheetData>
  <sheetProtection algorithmName="SHA-512" hashValue="zVV2W7Iz4OqH/vJLYl4YtexI9SbYl1lgc74s2rFDvyBvegYm3wzbSJTbMqiSjbj/hwwLh/F/fB6e9YMBnxWK+A==" saltValue="HUASLpeJxHI59lApd87G3g==" spinCount="100000" sheet="1" objects="1" scenarios="1"/>
  <mergeCells count="1">
    <mergeCell ref="C5:C6"/>
  </mergeCells>
  <dataValidations count="1">
    <dataValidation type="list" allowBlank="1" showInputMessage="1" showErrorMessage="1" sqref="E13" xr:uid="{FB04711E-CDAF-43A7-BC57-F6922E41C2D3}">
      <formula1>"ja,nee"</formula1>
    </dataValidation>
  </dataValidation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FC9CC-6AAC-44D3-AF5C-7B9C8F021943}">
  <sheetPr>
    <tabColor theme="8" tint="0.79998168889431442"/>
  </sheetPr>
  <dimension ref="B2:N84"/>
  <sheetViews>
    <sheetView zoomScale="85" zoomScaleNormal="85" workbookViewId="0">
      <selection activeCell="S24" sqref="S24:S25"/>
    </sheetView>
  </sheetViews>
  <sheetFormatPr defaultColWidth="8.6640625" defaultRowHeight="13.8" x14ac:dyDescent="0.3"/>
  <cols>
    <col min="1" max="2" width="2.5546875" style="1" customWidth="1"/>
    <col min="3" max="3" width="50.5546875" style="1" customWidth="1"/>
    <col min="4" max="4" width="1.5546875" style="1" customWidth="1"/>
    <col min="5" max="5" width="14.5546875" style="1" customWidth="1"/>
    <col min="6" max="6" width="14.5546875" style="2" customWidth="1"/>
    <col min="7" max="10" width="14.5546875" style="1" customWidth="1"/>
    <col min="11" max="11" width="2.5546875" style="1" customWidth="1"/>
    <col min="12" max="16384" width="8.6640625" style="1"/>
  </cols>
  <sheetData>
    <row r="2" spans="2:11" ht="15.6" x14ac:dyDescent="0.3">
      <c r="B2" s="9" t="s">
        <v>178</v>
      </c>
    </row>
    <row r="4" spans="2:11" x14ac:dyDescent="0.3">
      <c r="B4" s="20"/>
      <c r="C4" s="21"/>
      <c r="D4" s="21"/>
      <c r="E4" s="21"/>
      <c r="F4" s="22"/>
      <c r="G4" s="21"/>
      <c r="H4" s="21"/>
      <c r="I4" s="21"/>
      <c r="J4" s="21"/>
      <c r="K4" s="23"/>
    </row>
    <row r="5" spans="2:11" ht="12.9" customHeight="1" x14ac:dyDescent="0.3">
      <c r="B5" s="24"/>
      <c r="C5" s="1" t="s">
        <v>16</v>
      </c>
      <c r="F5" s="252" t="s">
        <v>179</v>
      </c>
      <c r="G5" s="253"/>
      <c r="K5" s="25"/>
    </row>
    <row r="6" spans="2:11" ht="12.9" customHeight="1" x14ac:dyDescent="0.3">
      <c r="B6" s="24"/>
      <c r="C6" s="1" t="s">
        <v>18</v>
      </c>
      <c r="F6" s="252" t="s">
        <v>180</v>
      </c>
      <c r="G6" s="253"/>
      <c r="K6" s="25"/>
    </row>
    <row r="7" spans="2:11" x14ac:dyDescent="0.3">
      <c r="B7" s="24"/>
      <c r="K7" s="25"/>
    </row>
    <row r="8" spans="2:11" x14ac:dyDescent="0.3">
      <c r="B8" s="24"/>
      <c r="C8" s="205" t="s">
        <v>20</v>
      </c>
      <c r="D8" s="206"/>
      <c r="E8" s="180">
        <v>2023</v>
      </c>
      <c r="F8" s="207">
        <f>tab!F2</f>
        <v>2024</v>
      </c>
      <c r="G8" s="207">
        <f>tab!G2</f>
        <v>2025</v>
      </c>
      <c r="H8" s="207">
        <f>tab!H2</f>
        <v>2026</v>
      </c>
      <c r="I8" s="207">
        <f>tab!I2</f>
        <v>2027</v>
      </c>
      <c r="J8" s="207">
        <f>tab!J2</f>
        <v>2028</v>
      </c>
      <c r="K8" s="25"/>
    </row>
    <row r="9" spans="2:11" x14ac:dyDescent="0.3">
      <c r="B9" s="24"/>
      <c r="C9" s="205" t="s">
        <v>21</v>
      </c>
      <c r="D9" s="206"/>
      <c r="E9" s="19">
        <v>44593</v>
      </c>
      <c r="F9" s="208" t="str">
        <f>tab!F4</f>
        <v>1-2-2023</v>
      </c>
      <c r="G9" s="208" t="str">
        <f>tab!G4</f>
        <v>1-2-2024</v>
      </c>
      <c r="H9" s="208" t="str">
        <f>tab!H4</f>
        <v>1-2-2025</v>
      </c>
      <c r="I9" s="208" t="str">
        <f>tab!I4</f>
        <v>1-2-2026</v>
      </c>
      <c r="J9" s="208" t="str">
        <f>tab!J4</f>
        <v>1-2-2027</v>
      </c>
      <c r="K9" s="25"/>
    </row>
    <row r="10" spans="2:11" x14ac:dyDescent="0.3">
      <c r="B10" s="24"/>
      <c r="C10" s="3" t="s">
        <v>22</v>
      </c>
      <c r="E10" s="181"/>
      <c r="F10" s="5"/>
      <c r="G10" s="5"/>
      <c r="H10" s="5"/>
      <c r="I10" s="5"/>
      <c r="J10" s="5"/>
      <c r="K10" s="25"/>
    </row>
    <row r="11" spans="2:11" x14ac:dyDescent="0.3">
      <c r="B11" s="24"/>
      <c r="C11" s="1" t="s">
        <v>181</v>
      </c>
      <c r="E11" s="53">
        <v>10</v>
      </c>
      <c r="F11" s="53">
        <v>10</v>
      </c>
      <c r="G11" s="53">
        <f>F11</f>
        <v>10</v>
      </c>
      <c r="H11" s="53">
        <f t="shared" ref="H11:J11" si="0">G11</f>
        <v>10</v>
      </c>
      <c r="I11" s="53">
        <f t="shared" si="0"/>
        <v>10</v>
      </c>
      <c r="J11" s="53">
        <f t="shared" si="0"/>
        <v>10</v>
      </c>
      <c r="K11" s="25"/>
    </row>
    <row r="12" spans="2:11" x14ac:dyDescent="0.3">
      <c r="B12" s="24"/>
      <c r="C12" s="1" t="s">
        <v>182</v>
      </c>
      <c r="E12" s="53">
        <v>10</v>
      </c>
      <c r="F12" s="53">
        <v>10</v>
      </c>
      <c r="G12" s="53">
        <f t="shared" ref="G12:J13" si="1">F12</f>
        <v>10</v>
      </c>
      <c r="H12" s="53">
        <f t="shared" si="1"/>
        <v>10</v>
      </c>
      <c r="I12" s="53">
        <f t="shared" si="1"/>
        <v>10</v>
      </c>
      <c r="J12" s="53">
        <f t="shared" si="1"/>
        <v>10</v>
      </c>
      <c r="K12" s="25"/>
    </row>
    <row r="13" spans="2:11" x14ac:dyDescent="0.3">
      <c r="B13" s="24"/>
      <c r="C13" s="1" t="s">
        <v>183</v>
      </c>
      <c r="E13" s="54">
        <v>10</v>
      </c>
      <c r="F13" s="54">
        <v>10</v>
      </c>
      <c r="G13" s="53">
        <f t="shared" si="1"/>
        <v>10</v>
      </c>
      <c r="H13" s="53">
        <f t="shared" si="1"/>
        <v>10</v>
      </c>
      <c r="I13" s="53">
        <f t="shared" si="1"/>
        <v>10</v>
      </c>
      <c r="J13" s="53">
        <f t="shared" si="1"/>
        <v>10</v>
      </c>
      <c r="K13" s="25"/>
    </row>
    <row r="14" spans="2:11" x14ac:dyDescent="0.3">
      <c r="B14" s="24"/>
      <c r="C14" s="7" t="s">
        <v>184</v>
      </c>
      <c r="D14" s="7"/>
      <c r="E14" s="213">
        <f t="shared" ref="E14:J14" si="2">SUM(E11:E13)</f>
        <v>30</v>
      </c>
      <c r="F14" s="213">
        <f t="shared" si="2"/>
        <v>30</v>
      </c>
      <c r="G14" s="213">
        <f t="shared" si="2"/>
        <v>30</v>
      </c>
      <c r="H14" s="213">
        <f t="shared" si="2"/>
        <v>30</v>
      </c>
      <c r="I14" s="213">
        <f t="shared" si="2"/>
        <v>30</v>
      </c>
      <c r="J14" s="213">
        <f t="shared" si="2"/>
        <v>30</v>
      </c>
      <c r="K14" s="25"/>
    </row>
    <row r="15" spans="2:11" x14ac:dyDescent="0.3">
      <c r="B15" s="24"/>
      <c r="C15" s="1" t="s">
        <v>185</v>
      </c>
      <c r="E15" s="55">
        <v>20</v>
      </c>
      <c r="F15" s="55">
        <v>20</v>
      </c>
      <c r="G15" s="55">
        <f>F15</f>
        <v>20</v>
      </c>
      <c r="H15" s="55">
        <f t="shared" ref="H15:J15" si="3">G15</f>
        <v>20</v>
      </c>
      <c r="I15" s="55">
        <f t="shared" si="3"/>
        <v>20</v>
      </c>
      <c r="J15" s="55">
        <f t="shared" si="3"/>
        <v>20</v>
      </c>
      <c r="K15" s="25"/>
    </row>
    <row r="16" spans="2:11" x14ac:dyDescent="0.3">
      <c r="B16" s="24"/>
      <c r="C16" s="1" t="s">
        <v>186</v>
      </c>
      <c r="E16" s="53">
        <v>20</v>
      </c>
      <c r="F16" s="53">
        <v>20</v>
      </c>
      <c r="G16" s="55">
        <f t="shared" ref="G16:J17" si="4">F16</f>
        <v>20</v>
      </c>
      <c r="H16" s="55">
        <f t="shared" si="4"/>
        <v>20</v>
      </c>
      <c r="I16" s="55">
        <f t="shared" si="4"/>
        <v>20</v>
      </c>
      <c r="J16" s="55">
        <f t="shared" si="4"/>
        <v>20</v>
      </c>
      <c r="K16" s="25"/>
    </row>
    <row r="17" spans="2:11" x14ac:dyDescent="0.3">
      <c r="B17" s="24"/>
      <c r="C17" s="1" t="s">
        <v>187</v>
      </c>
      <c r="E17" s="54">
        <v>20</v>
      </c>
      <c r="F17" s="54">
        <v>20</v>
      </c>
      <c r="G17" s="55">
        <f t="shared" si="4"/>
        <v>20</v>
      </c>
      <c r="H17" s="55">
        <f t="shared" si="4"/>
        <v>20</v>
      </c>
      <c r="I17" s="55">
        <f t="shared" si="4"/>
        <v>20</v>
      </c>
      <c r="J17" s="55">
        <f t="shared" si="4"/>
        <v>20</v>
      </c>
      <c r="K17" s="25"/>
    </row>
    <row r="18" spans="2:11" x14ac:dyDescent="0.3">
      <c r="B18" s="24"/>
      <c r="C18" s="7" t="s">
        <v>188</v>
      </c>
      <c r="D18" s="7"/>
      <c r="E18" s="213">
        <f t="shared" ref="E18:J18" si="5">SUM(E15:E17)</f>
        <v>60</v>
      </c>
      <c r="F18" s="213">
        <f t="shared" si="5"/>
        <v>60</v>
      </c>
      <c r="G18" s="213">
        <f t="shared" si="5"/>
        <v>60</v>
      </c>
      <c r="H18" s="213">
        <f t="shared" si="5"/>
        <v>60</v>
      </c>
      <c r="I18" s="213">
        <f t="shared" si="5"/>
        <v>60</v>
      </c>
      <c r="J18" s="213">
        <f t="shared" si="5"/>
        <v>60</v>
      </c>
      <c r="K18" s="25"/>
    </row>
    <row r="19" spans="2:11" x14ac:dyDescent="0.3">
      <c r="B19" s="24"/>
      <c r="C19" s="1" t="s">
        <v>156</v>
      </c>
      <c r="E19" s="55">
        <v>16</v>
      </c>
      <c r="F19" s="55">
        <v>16</v>
      </c>
      <c r="G19" s="55">
        <f>F19</f>
        <v>16</v>
      </c>
      <c r="H19" s="55">
        <f t="shared" ref="H19:J19" si="6">G19</f>
        <v>16</v>
      </c>
      <c r="I19" s="55">
        <f t="shared" si="6"/>
        <v>16</v>
      </c>
      <c r="J19" s="55">
        <f t="shared" si="6"/>
        <v>16</v>
      </c>
      <c r="K19" s="25"/>
    </row>
    <row r="20" spans="2:11" x14ac:dyDescent="0.3">
      <c r="B20" s="24"/>
      <c r="C20" s="1" t="s">
        <v>189</v>
      </c>
      <c r="E20" s="53">
        <v>1</v>
      </c>
      <c r="F20" s="53">
        <v>1</v>
      </c>
      <c r="G20" s="55">
        <f t="shared" ref="G20:J26" si="7">F20</f>
        <v>1</v>
      </c>
      <c r="H20" s="55">
        <f t="shared" si="7"/>
        <v>1</v>
      </c>
      <c r="I20" s="55">
        <f t="shared" si="7"/>
        <v>1</v>
      </c>
      <c r="J20" s="55">
        <f t="shared" si="7"/>
        <v>1</v>
      </c>
      <c r="K20" s="25"/>
    </row>
    <row r="21" spans="2:11" x14ac:dyDescent="0.3">
      <c r="B21" s="24"/>
      <c r="C21" s="1" t="s">
        <v>190</v>
      </c>
      <c r="E21" s="53">
        <v>1</v>
      </c>
      <c r="F21" s="53">
        <v>1</v>
      </c>
      <c r="G21" s="55">
        <f t="shared" si="7"/>
        <v>1</v>
      </c>
      <c r="H21" s="55">
        <f t="shared" si="7"/>
        <v>1</v>
      </c>
      <c r="I21" s="55">
        <f t="shared" si="7"/>
        <v>1</v>
      </c>
      <c r="J21" s="55">
        <f t="shared" si="7"/>
        <v>1</v>
      </c>
      <c r="K21" s="25"/>
    </row>
    <row r="22" spans="2:11" x14ac:dyDescent="0.3">
      <c r="B22" s="24"/>
      <c r="C22" s="1" t="s">
        <v>191</v>
      </c>
      <c r="E22" s="53">
        <v>100</v>
      </c>
      <c r="F22" s="53">
        <v>100</v>
      </c>
      <c r="G22" s="55">
        <f t="shared" si="7"/>
        <v>100</v>
      </c>
      <c r="H22" s="55">
        <f t="shared" si="7"/>
        <v>100</v>
      </c>
      <c r="I22" s="55">
        <f t="shared" si="7"/>
        <v>100</v>
      </c>
      <c r="J22" s="55">
        <f t="shared" si="7"/>
        <v>100</v>
      </c>
      <c r="K22" s="25"/>
    </row>
    <row r="23" spans="2:11" x14ac:dyDescent="0.3">
      <c r="B23" s="24"/>
      <c r="C23" s="1" t="s">
        <v>192</v>
      </c>
      <c r="E23" s="53">
        <v>1</v>
      </c>
      <c r="F23" s="53">
        <v>1</v>
      </c>
      <c r="G23" s="55">
        <f t="shared" si="7"/>
        <v>1</v>
      </c>
      <c r="H23" s="55">
        <f t="shared" si="7"/>
        <v>1</v>
      </c>
      <c r="I23" s="55">
        <f t="shared" si="7"/>
        <v>1</v>
      </c>
      <c r="J23" s="55">
        <f t="shared" si="7"/>
        <v>1</v>
      </c>
      <c r="K23" s="25"/>
    </row>
    <row r="24" spans="2:11" x14ac:dyDescent="0.3">
      <c r="B24" s="24"/>
      <c r="C24" s="1" t="s">
        <v>193</v>
      </c>
      <c r="E24" s="53">
        <v>100</v>
      </c>
      <c r="F24" s="53">
        <v>100</v>
      </c>
      <c r="G24" s="55">
        <f t="shared" si="7"/>
        <v>100</v>
      </c>
      <c r="H24" s="55">
        <f t="shared" si="7"/>
        <v>100</v>
      </c>
      <c r="I24" s="55">
        <f t="shared" si="7"/>
        <v>100</v>
      </c>
      <c r="J24" s="55">
        <f t="shared" si="7"/>
        <v>100</v>
      </c>
      <c r="K24" s="25"/>
    </row>
    <row r="25" spans="2:11" x14ac:dyDescent="0.3">
      <c r="B25" s="24"/>
      <c r="C25" s="1" t="s">
        <v>194</v>
      </c>
      <c r="E25" s="53">
        <v>1</v>
      </c>
      <c r="F25" s="53">
        <v>1</v>
      </c>
      <c r="G25" s="55">
        <f t="shared" si="7"/>
        <v>1</v>
      </c>
      <c r="H25" s="55">
        <f t="shared" si="7"/>
        <v>1</v>
      </c>
      <c r="I25" s="55">
        <f t="shared" si="7"/>
        <v>1</v>
      </c>
      <c r="J25" s="55">
        <f t="shared" si="7"/>
        <v>1</v>
      </c>
      <c r="K25" s="25"/>
    </row>
    <row r="26" spans="2:11" x14ac:dyDescent="0.3">
      <c r="B26" s="24"/>
      <c r="C26" s="1" t="s">
        <v>195</v>
      </c>
      <c r="E26" s="53">
        <v>100</v>
      </c>
      <c r="F26" s="53">
        <v>100</v>
      </c>
      <c r="G26" s="55">
        <f t="shared" si="7"/>
        <v>100</v>
      </c>
      <c r="H26" s="55">
        <f t="shared" si="7"/>
        <v>100</v>
      </c>
      <c r="I26" s="55">
        <f t="shared" si="7"/>
        <v>100</v>
      </c>
      <c r="J26" s="55">
        <f t="shared" si="7"/>
        <v>100</v>
      </c>
      <c r="K26" s="25"/>
    </row>
    <row r="27" spans="2:11" x14ac:dyDescent="0.3">
      <c r="B27" s="24"/>
      <c r="F27" s="4"/>
      <c r="G27" s="4"/>
      <c r="H27" s="4"/>
      <c r="I27" s="4"/>
      <c r="J27" s="4"/>
      <c r="K27" s="25"/>
    </row>
    <row r="28" spans="2:11" x14ac:dyDescent="0.3">
      <c r="B28" s="24"/>
      <c r="C28" s="3" t="s">
        <v>29</v>
      </c>
      <c r="D28" s="3"/>
      <c r="E28" s="3"/>
      <c r="G28" s="2"/>
      <c r="H28" s="2"/>
      <c r="I28" s="2"/>
      <c r="J28" s="2"/>
      <c r="K28" s="25"/>
    </row>
    <row r="29" spans="2:11" x14ac:dyDescent="0.3">
      <c r="B29" s="24"/>
      <c r="C29" s="1" t="s">
        <v>196</v>
      </c>
      <c r="E29" s="82">
        <f>E14*tab!E41</f>
        <v>213963.9</v>
      </c>
      <c r="F29" s="82">
        <f>F14*tab!F41</f>
        <v>213931.39888359001</v>
      </c>
      <c r="G29" s="82">
        <f>G14*tab!G41</f>
        <v>213931.39888359001</v>
      </c>
      <c r="H29" s="82">
        <f>H14*tab!H41</f>
        <v>213931.39888359001</v>
      </c>
      <c r="I29" s="82">
        <f>I14*tab!I41</f>
        <v>213931.39888359001</v>
      </c>
      <c r="J29" s="82">
        <f>J14*tab!J41</f>
        <v>213931.39888359001</v>
      </c>
      <c r="K29" s="25"/>
    </row>
    <row r="30" spans="2:11" x14ac:dyDescent="0.3">
      <c r="B30" s="24"/>
      <c r="C30" s="1" t="s">
        <v>197</v>
      </c>
      <c r="E30" s="82">
        <f>E18*tab!E42</f>
        <v>648490.80000000005</v>
      </c>
      <c r="F30" s="82">
        <f>F18*tab!F42</f>
        <v>648392.29424747999</v>
      </c>
      <c r="G30" s="82">
        <f>G18*tab!G42</f>
        <v>648392.29424747999</v>
      </c>
      <c r="H30" s="82">
        <f>H18*tab!H42</f>
        <v>648392.29424747999</v>
      </c>
      <c r="I30" s="82">
        <f>I18*tab!I42</f>
        <v>648392.29424747999</v>
      </c>
      <c r="J30" s="82">
        <f>J18*tab!J42</f>
        <v>648392.29424747999</v>
      </c>
      <c r="K30" s="25"/>
    </row>
    <row r="31" spans="2:11" x14ac:dyDescent="0.3">
      <c r="B31" s="24"/>
      <c r="C31" s="1" t="s">
        <v>198</v>
      </c>
      <c r="E31" s="82">
        <f>IF(E14=0,0,(IF(E14&gt;=50,tab!E44,tab!E43)))</f>
        <v>132783.66</v>
      </c>
      <c r="F31" s="82">
        <f>IF(F14=0,0,(IF(F14&gt;=50,tab!F44,tab!F43)))</f>
        <v>132763.49016204602</v>
      </c>
      <c r="G31" s="82">
        <f>IF(G14=0,0,(IF(G14&gt;=50,tab!G44,tab!G43)))</f>
        <v>132763.49016204602</v>
      </c>
      <c r="H31" s="82">
        <f>IF(H14=0,0,(IF(H14&gt;=50,tab!H44,tab!H43)))</f>
        <v>132763.49016204602</v>
      </c>
      <c r="I31" s="82">
        <f>IF(I14=0,0,(IF(I14&gt;=50,tab!I44,tab!I43)))</f>
        <v>132763.49016204602</v>
      </c>
      <c r="J31" s="82">
        <f>IF(J14=0,0,(IF(J14&gt;=50,tab!J44,tab!J43)))</f>
        <v>132763.49016204602</v>
      </c>
      <c r="K31" s="25"/>
    </row>
    <row r="32" spans="2:11" x14ac:dyDescent="0.3">
      <c r="B32" s="24"/>
      <c r="C32" s="1" t="s">
        <v>199</v>
      </c>
      <c r="E32" s="82">
        <f>IF(E18=0,0,(IF(E18&gt;=50,tab!E46,tab!E45)))</f>
        <v>157212</v>
      </c>
      <c r="F32" s="82">
        <f>IF(F18=0,0,(IF(F18&gt;=50,tab!F46,tab!F45)))</f>
        <v>157188.11949720001</v>
      </c>
      <c r="G32" s="82">
        <f>IF(G18=0,0,(IF(G18&gt;=50,tab!G46,tab!G45)))</f>
        <v>157188.11949720001</v>
      </c>
      <c r="H32" s="82">
        <f>IF(H18=0,0,(IF(H18&gt;=50,tab!H46,tab!H45)))</f>
        <v>157188.11949720001</v>
      </c>
      <c r="I32" s="82">
        <f>IF(I18=0,0,(IF(I18&gt;=50,tab!I46,tab!I45)))</f>
        <v>157188.11949720001</v>
      </c>
      <c r="J32" s="82">
        <f>IF(J18=0,0,(IF(J18&gt;=50,tab!J46,tab!J45)))</f>
        <v>157188.11949720001</v>
      </c>
      <c r="K32" s="25"/>
    </row>
    <row r="33" spans="2:14" x14ac:dyDescent="0.3">
      <c r="B33" s="24"/>
      <c r="E33" s="182">
        <f t="shared" ref="E33:J33" si="8">SUM(E29:E32)</f>
        <v>1152450.3600000001</v>
      </c>
      <c r="F33" s="182">
        <f t="shared" si="8"/>
        <v>1152275.3027903161</v>
      </c>
      <c r="G33" s="182">
        <f t="shared" si="8"/>
        <v>1152275.3027903161</v>
      </c>
      <c r="H33" s="182">
        <f t="shared" si="8"/>
        <v>1152275.3027903161</v>
      </c>
      <c r="I33" s="182">
        <f t="shared" si="8"/>
        <v>1152275.3027903161</v>
      </c>
      <c r="J33" s="182">
        <f t="shared" si="8"/>
        <v>1152275.3027903161</v>
      </c>
      <c r="K33" s="25"/>
    </row>
    <row r="34" spans="2:14" x14ac:dyDescent="0.3">
      <c r="B34" s="24"/>
      <c r="C34" s="3" t="s">
        <v>158</v>
      </c>
      <c r="D34" s="3"/>
      <c r="E34" s="82"/>
      <c r="F34" s="82"/>
      <c r="G34" s="82"/>
      <c r="H34" s="82"/>
      <c r="I34" s="82"/>
      <c r="J34" s="82"/>
      <c r="K34" s="25"/>
    </row>
    <row r="35" spans="2:14" x14ac:dyDescent="0.3">
      <c r="B35" s="24"/>
      <c r="C35" s="1" t="s">
        <v>200</v>
      </c>
      <c r="E35" s="82">
        <f>(E20*tab!E47)+('(v)so'!E21*tab!E48)+('(v)so'!E22*tab!E49)+('(v)so'!E23*tab!E50)+('(v)so'!E24*tab!E51)+('(v)so'!E25*tab!E52)+('(v)so'!E26*tab!E53)</f>
        <v>106283.95999999999</v>
      </c>
      <c r="F35" s="82">
        <f>(F20*tab!F47)+('(v)so'!F21*tab!F48)+('(v)so'!F22*tab!F49)+('(v)so'!F23*tab!F50)+('(v)so'!F24*tab!F51)+('(v)so'!F25*tab!F52)+('(v)so'!F26*tab!F53)</f>
        <v>106267.81546647601</v>
      </c>
      <c r="G35" s="82">
        <f>(G20*tab!G47)+('(v)so'!G21*tab!G48)+('(v)so'!G22*tab!G49)+('(v)so'!G23*tab!G50)+('(v)so'!G24*tab!G51)+('(v)so'!G25*tab!G52)+('(v)so'!G26*tab!G53)</f>
        <v>106267.81546647601</v>
      </c>
      <c r="H35" s="82">
        <f>(H20*tab!H47)+('(v)so'!H21*tab!H48)+('(v)so'!H22*tab!H49)+('(v)so'!H23*tab!H50)+('(v)so'!H24*tab!H51)+('(v)so'!H25*tab!H52)+('(v)so'!H26*tab!H53)</f>
        <v>106267.81546647601</v>
      </c>
      <c r="I35" s="82">
        <f>(I20*tab!I47)+('(v)so'!I21*tab!I48)+('(v)so'!I22*tab!I49)+('(v)so'!I23*tab!I50)+('(v)so'!I24*tab!I51)+('(v)so'!I25*tab!I52)+('(v)so'!I26*tab!I53)</f>
        <v>106267.81546647601</v>
      </c>
      <c r="J35" s="82">
        <f>(J20*tab!J47)+('(v)so'!J21*tab!J48)+('(v)so'!J22*tab!J49)+('(v)so'!J23*tab!J50)+('(v)so'!J24*tab!J51)+('(v)so'!J25*tab!J52)+('(v)so'!J26*tab!J53)</f>
        <v>106267.81546647601</v>
      </c>
      <c r="K35" s="25"/>
    </row>
    <row r="36" spans="2:14" x14ac:dyDescent="0.3">
      <c r="B36" s="24"/>
      <c r="C36" s="1" t="s">
        <v>42</v>
      </c>
      <c r="E36" s="82">
        <f>E19*tab!E54</f>
        <v>56037.919999999998</v>
      </c>
      <c r="F36" s="82">
        <f>F19*tab!F54</f>
        <v>56029.407839952</v>
      </c>
      <c r="G36" s="82">
        <f>G19*tab!G54</f>
        <v>56029.407839952</v>
      </c>
      <c r="H36" s="82">
        <f>H19*tab!H54</f>
        <v>56029.407839952</v>
      </c>
      <c r="I36" s="82">
        <f>I19*tab!I54</f>
        <v>56029.407839952</v>
      </c>
      <c r="J36" s="82">
        <f>J19*tab!J54</f>
        <v>56029.407839952</v>
      </c>
      <c r="K36" s="25"/>
    </row>
    <row r="37" spans="2:14" x14ac:dyDescent="0.3">
      <c r="B37" s="24"/>
      <c r="C37" s="1" t="s">
        <v>201</v>
      </c>
      <c r="E37" s="82">
        <f>E11*tab!E55+E12*tab!E56+E13*tab!E57</f>
        <v>654210.5</v>
      </c>
      <c r="F37" s="82">
        <f>F11*tab!F55+F12*tab!F56+F13*tab!F57</f>
        <v>654111.12542505004</v>
      </c>
      <c r="G37" s="82">
        <f>G11*tab!G55+G12*tab!G56+G13*tab!G57</f>
        <v>654111.12542505004</v>
      </c>
      <c r="H37" s="82">
        <f>H11*tab!H55+H12*tab!H56+H13*tab!H57</f>
        <v>654111.12542505004</v>
      </c>
      <c r="I37" s="82">
        <f>I11*tab!I55+I12*tab!I56+I13*tab!I57</f>
        <v>654111.12542505004</v>
      </c>
      <c r="J37" s="82">
        <f>J11*tab!J55+J12*tab!J56+J13*tab!J57</f>
        <v>654111.12542505004</v>
      </c>
      <c r="K37" s="25"/>
    </row>
    <row r="38" spans="2:14" x14ac:dyDescent="0.3">
      <c r="B38" s="24"/>
      <c r="C38" s="1" t="s">
        <v>202</v>
      </c>
      <c r="E38" s="82">
        <f>E15*tab!E58+E16*tab!E59+E17*tab!E60</f>
        <v>1351976.7999999998</v>
      </c>
      <c r="F38" s="82">
        <f>F15*tab!F58+F16*tab!F59+F17*tab!F60</f>
        <v>1351771.4347240799</v>
      </c>
      <c r="G38" s="82">
        <f>G15*tab!G58+G16*tab!G59+G17*tab!G60</f>
        <v>1351771.4347240799</v>
      </c>
      <c r="H38" s="82">
        <f>H15*tab!H58+H16*tab!H59+H17*tab!H60</f>
        <v>1351771.4347240799</v>
      </c>
      <c r="I38" s="82">
        <f>I15*tab!I58+I16*tab!I59+I17*tab!I60</f>
        <v>1351771.4347240799</v>
      </c>
      <c r="J38" s="82">
        <f>J15*tab!J58+J16*tab!J59+J17*tab!J60</f>
        <v>1351771.4347240799</v>
      </c>
      <c r="K38" s="25"/>
    </row>
    <row r="39" spans="2:14" x14ac:dyDescent="0.3">
      <c r="B39" s="24"/>
      <c r="C39" s="1" t="s">
        <v>203</v>
      </c>
      <c r="E39" s="82"/>
      <c r="F39" s="95">
        <v>0</v>
      </c>
      <c r="G39" s="95">
        <v>0</v>
      </c>
      <c r="H39" s="95">
        <v>0</v>
      </c>
      <c r="I39" s="95">
        <v>0</v>
      </c>
      <c r="J39" s="95">
        <v>0</v>
      </c>
      <c r="K39" s="25"/>
      <c r="M39" s="79" t="s">
        <v>204</v>
      </c>
      <c r="N39" s="80"/>
    </row>
    <row r="40" spans="2:14" x14ac:dyDescent="0.3">
      <c r="B40" s="24"/>
      <c r="C40" s="1" t="s">
        <v>205</v>
      </c>
      <c r="E40" s="82"/>
      <c r="F40" s="95">
        <v>0</v>
      </c>
      <c r="G40" s="95">
        <v>0</v>
      </c>
      <c r="H40" s="95">
        <v>0</v>
      </c>
      <c r="I40" s="95">
        <v>0</v>
      </c>
      <c r="J40" s="95">
        <v>0</v>
      </c>
      <c r="K40" s="25"/>
      <c r="M40" s="79" t="s">
        <v>204</v>
      </c>
      <c r="N40" s="80"/>
    </row>
    <row r="41" spans="2:14" x14ac:dyDescent="0.3">
      <c r="B41" s="24"/>
      <c r="C41" s="1" t="s">
        <v>206</v>
      </c>
      <c r="E41" s="82"/>
      <c r="F41" s="95">
        <v>0</v>
      </c>
      <c r="G41" s="95">
        <v>0</v>
      </c>
      <c r="H41" s="95">
        <v>0</v>
      </c>
      <c r="I41" s="95">
        <v>0</v>
      </c>
      <c r="J41" s="95">
        <v>0</v>
      </c>
      <c r="K41" s="25"/>
    </row>
    <row r="42" spans="2:14" x14ac:dyDescent="0.3">
      <c r="B42" s="24"/>
      <c r="C42" s="150" t="s">
        <v>46</v>
      </c>
      <c r="E42" s="82">
        <f>(E14+E18)*tab!E89</f>
        <v>9002.7000000000007</v>
      </c>
      <c r="F42" s="95">
        <f>(F14+F18)*tab!F89</f>
        <v>9002.7000000000007</v>
      </c>
      <c r="G42" s="95">
        <v>0</v>
      </c>
      <c r="H42" s="95">
        <v>0</v>
      </c>
      <c r="I42" s="95">
        <v>0</v>
      </c>
      <c r="J42" s="95">
        <v>0</v>
      </c>
      <c r="K42" s="25"/>
    </row>
    <row r="43" spans="2:14" x14ac:dyDescent="0.3">
      <c r="B43" s="24"/>
      <c r="C43" s="61"/>
      <c r="E43" s="82"/>
      <c r="F43" s="95"/>
      <c r="G43" s="95">
        <f>(G14+G18)*tab!G89</f>
        <v>0</v>
      </c>
      <c r="H43" s="95">
        <f>(H14+H18)*tab!H89</f>
        <v>0</v>
      </c>
      <c r="I43" s="95">
        <f>(I14+I18)*tab!I89</f>
        <v>0</v>
      </c>
      <c r="J43" s="95">
        <f>(J14+J18)*tab!J89</f>
        <v>0</v>
      </c>
      <c r="K43" s="25"/>
    </row>
    <row r="44" spans="2:14" x14ac:dyDescent="0.3">
      <c r="B44" s="24"/>
      <c r="E44" s="182">
        <f t="shared" ref="E44:J44" si="9">SUM(E35:E43)</f>
        <v>2177511.88</v>
      </c>
      <c r="F44" s="182">
        <f t="shared" si="9"/>
        <v>2177182.4834555583</v>
      </c>
      <c r="G44" s="182">
        <f t="shared" si="9"/>
        <v>2168179.7834555581</v>
      </c>
      <c r="H44" s="182">
        <f t="shared" si="9"/>
        <v>2168179.7834555581</v>
      </c>
      <c r="I44" s="182">
        <f t="shared" si="9"/>
        <v>2168179.7834555581</v>
      </c>
      <c r="J44" s="182">
        <f t="shared" si="9"/>
        <v>2168179.7834555581</v>
      </c>
      <c r="K44" s="25"/>
    </row>
    <row r="45" spans="2:14" x14ac:dyDescent="0.3">
      <c r="B45" s="24"/>
      <c r="C45" s="3" t="s">
        <v>207</v>
      </c>
      <c r="E45" s="82"/>
      <c r="F45" s="82"/>
      <c r="G45" s="2"/>
      <c r="H45" s="2"/>
      <c r="I45" s="2"/>
      <c r="J45" s="2"/>
      <c r="K45" s="25"/>
    </row>
    <row r="46" spans="2:14" x14ac:dyDescent="0.3">
      <c r="B46" s="24"/>
      <c r="C46" s="58" t="s">
        <v>48</v>
      </c>
      <c r="E46" s="82"/>
      <c r="F46" s="95">
        <v>0</v>
      </c>
      <c r="G46" s="95">
        <v>0</v>
      </c>
      <c r="H46" s="95">
        <v>0</v>
      </c>
      <c r="I46" s="95">
        <v>0</v>
      </c>
      <c r="J46" s="95">
        <v>0</v>
      </c>
      <c r="K46" s="25"/>
    </row>
    <row r="47" spans="2:14" x14ac:dyDescent="0.3">
      <c r="B47" s="24"/>
      <c r="C47" s="58" t="s">
        <v>208</v>
      </c>
      <c r="E47" s="82"/>
      <c r="F47" s="95">
        <v>0</v>
      </c>
      <c r="G47" s="95">
        <v>0</v>
      </c>
      <c r="H47" s="95">
        <v>0</v>
      </c>
      <c r="I47" s="95">
        <v>0</v>
      </c>
      <c r="J47" s="95">
        <v>0</v>
      </c>
      <c r="K47" s="25"/>
    </row>
    <row r="48" spans="2:14" x14ac:dyDescent="0.3">
      <c r="B48" s="24"/>
      <c r="C48" s="58" t="s">
        <v>209</v>
      </c>
      <c r="E48" s="82"/>
      <c r="F48" s="95">
        <v>0</v>
      </c>
      <c r="G48" s="95">
        <v>0</v>
      </c>
      <c r="H48" s="95">
        <v>0</v>
      </c>
      <c r="I48" s="95">
        <v>0</v>
      </c>
      <c r="J48" s="95">
        <v>0</v>
      </c>
      <c r="K48" s="25"/>
    </row>
    <row r="49" spans="2:13" x14ac:dyDescent="0.3">
      <c r="B49" s="24"/>
      <c r="E49" s="82"/>
      <c r="F49" s="182">
        <f>SUM(F46:F48)</f>
        <v>0</v>
      </c>
      <c r="G49" s="182">
        <f>SUM(G46:G48)</f>
        <v>0</v>
      </c>
      <c r="H49" s="182">
        <f>SUM(H46:H48)</f>
        <v>0</v>
      </c>
      <c r="I49" s="182">
        <f>SUM(I46:I48)</f>
        <v>0</v>
      </c>
      <c r="J49" s="182">
        <f>SUM(J46:J48)</f>
        <v>0</v>
      </c>
      <c r="K49" s="25"/>
    </row>
    <row r="50" spans="2:13" x14ac:dyDescent="0.3">
      <c r="B50" s="24"/>
      <c r="E50" s="2"/>
      <c r="G50" s="2"/>
      <c r="H50" s="2"/>
      <c r="I50" s="2"/>
      <c r="J50" s="2"/>
      <c r="K50" s="25"/>
    </row>
    <row r="51" spans="2:13" x14ac:dyDescent="0.3">
      <c r="B51" s="24"/>
      <c r="C51" s="3" t="s">
        <v>210</v>
      </c>
      <c r="D51" s="3"/>
      <c r="E51" s="214">
        <f t="shared" ref="E51:J51" si="10">E33+E44+E49</f>
        <v>3329962.24</v>
      </c>
      <c r="F51" s="214">
        <f t="shared" si="10"/>
        <v>3329457.7862458741</v>
      </c>
      <c r="G51" s="214">
        <f t="shared" si="10"/>
        <v>3320455.0862458739</v>
      </c>
      <c r="H51" s="214">
        <f t="shared" si="10"/>
        <v>3320455.0862458739</v>
      </c>
      <c r="I51" s="214">
        <f t="shared" si="10"/>
        <v>3320455.0862458739</v>
      </c>
      <c r="J51" s="214">
        <f t="shared" si="10"/>
        <v>3320455.0862458739</v>
      </c>
      <c r="K51" s="25"/>
    </row>
    <row r="52" spans="2:13" x14ac:dyDescent="0.3">
      <c r="B52" s="24"/>
      <c r="C52" s="3"/>
      <c r="D52" s="3"/>
      <c r="E52" s="3"/>
      <c r="F52" s="189"/>
      <c r="G52" s="189"/>
      <c r="H52" s="189"/>
      <c r="I52" s="189"/>
      <c r="J52" s="189"/>
      <c r="K52" s="25"/>
    </row>
    <row r="53" spans="2:13" x14ac:dyDescent="0.3">
      <c r="B53" s="24"/>
      <c r="C53" s="3"/>
      <c r="D53" s="3"/>
      <c r="E53" s="3"/>
      <c r="F53" s="189"/>
      <c r="G53" s="189"/>
      <c r="H53" s="189"/>
      <c r="I53" s="189"/>
      <c r="J53" s="189"/>
      <c r="K53" s="25"/>
    </row>
    <row r="54" spans="2:13" x14ac:dyDescent="0.3">
      <c r="B54" s="24"/>
      <c r="C54" s="225" t="s">
        <v>50</v>
      </c>
      <c r="E54" s="224"/>
      <c r="G54" s="2"/>
      <c r="H54" s="2"/>
      <c r="I54" s="2"/>
      <c r="J54" s="2"/>
      <c r="K54" s="25"/>
    </row>
    <row r="55" spans="2:13" x14ac:dyDescent="0.3">
      <c r="B55" s="24"/>
      <c r="C55" s="7"/>
      <c r="G55" s="2"/>
      <c r="H55" s="2"/>
      <c r="I55" s="2"/>
      <c r="J55" s="2"/>
      <c r="K55" s="25"/>
    </row>
    <row r="56" spans="2:13" x14ac:dyDescent="0.3">
      <c r="B56" s="24"/>
      <c r="C56" s="1" t="s">
        <v>211</v>
      </c>
      <c r="E56" s="85">
        <v>100</v>
      </c>
      <c r="G56" s="86" t="s">
        <v>52</v>
      </c>
      <c r="H56" s="96"/>
      <c r="I56" s="96"/>
      <c r="J56" s="96" t="s">
        <v>53</v>
      </c>
      <c r="K56" s="190" t="s">
        <v>54</v>
      </c>
      <c r="M56" s="8" t="s">
        <v>55</v>
      </c>
    </row>
    <row r="57" spans="2:13" x14ac:dyDescent="0.3">
      <c r="B57" s="24"/>
      <c r="C57" s="1" t="s">
        <v>212</v>
      </c>
      <c r="E57" s="85">
        <v>101</v>
      </c>
      <c r="G57" s="86" t="s">
        <v>52</v>
      </c>
      <c r="H57" s="96"/>
      <c r="I57" s="96"/>
      <c r="J57" s="96" t="s">
        <v>57</v>
      </c>
      <c r="K57" s="190" t="s">
        <v>58</v>
      </c>
      <c r="M57" s="8" t="s">
        <v>55</v>
      </c>
    </row>
    <row r="58" spans="2:13" x14ac:dyDescent="0.3">
      <c r="B58" s="24"/>
      <c r="F58" s="36"/>
      <c r="G58" s="36"/>
      <c r="H58" s="36"/>
      <c r="I58" s="36"/>
      <c r="J58" s="36"/>
      <c r="K58" s="190"/>
      <c r="M58" s="50"/>
    </row>
    <row r="59" spans="2:13" x14ac:dyDescent="0.3">
      <c r="B59" s="24"/>
      <c r="C59" s="1" t="s">
        <v>213</v>
      </c>
      <c r="E59" s="36">
        <f>E29+E30+E31+E32+E35+E36+E37+E38</f>
        <v>3320959.54</v>
      </c>
      <c r="F59" s="36"/>
      <c r="G59" s="36"/>
      <c r="H59" s="36"/>
      <c r="I59" s="2"/>
      <c r="J59" s="2"/>
      <c r="K59" s="190" t="s">
        <v>60</v>
      </c>
    </row>
    <row r="60" spans="2:13" x14ac:dyDescent="0.3">
      <c r="B60" s="24"/>
      <c r="C60" s="1" t="s">
        <v>214</v>
      </c>
      <c r="E60" s="107">
        <f>E14+E18</f>
        <v>90</v>
      </c>
      <c r="F60" s="107"/>
      <c r="G60" s="107"/>
      <c r="H60" s="107"/>
      <c r="I60" s="2"/>
      <c r="J60" s="2"/>
      <c r="K60" s="190" t="s">
        <v>62</v>
      </c>
    </row>
    <row r="61" spans="2:13" x14ac:dyDescent="0.3">
      <c r="B61" s="24"/>
      <c r="E61" s="107"/>
      <c r="F61" s="107"/>
      <c r="G61" s="107"/>
      <c r="H61" s="107"/>
      <c r="I61" s="2"/>
      <c r="J61" s="2"/>
      <c r="K61" s="190"/>
    </row>
    <row r="62" spans="2:13" x14ac:dyDescent="0.3">
      <c r="B62" s="24"/>
      <c r="C62" s="1" t="s">
        <v>213</v>
      </c>
      <c r="E62" s="36">
        <f>E29+E30+E31+E32+E35+E36+E37+E38</f>
        <v>3320959.54</v>
      </c>
      <c r="F62" s="36">
        <f t="shared" ref="F62:G62" si="11">F29+F30+F31+F32+F35+F36+F37+F38</f>
        <v>3320455.0862458739</v>
      </c>
      <c r="G62" s="36">
        <f t="shared" si="11"/>
        <v>3320455.0862458739</v>
      </c>
      <c r="H62" s="36"/>
      <c r="I62" s="2"/>
      <c r="J62" s="2"/>
      <c r="K62" s="190" t="s">
        <v>64</v>
      </c>
    </row>
    <row r="63" spans="2:13" x14ac:dyDescent="0.3">
      <c r="B63" s="24"/>
      <c r="C63" s="1" t="s">
        <v>214</v>
      </c>
      <c r="E63" s="107">
        <f>E14+E18</f>
        <v>90</v>
      </c>
      <c r="F63" s="107">
        <f t="shared" ref="F63:G63" si="12">F14+F18</f>
        <v>90</v>
      </c>
      <c r="G63" s="107">
        <f t="shared" si="12"/>
        <v>90</v>
      </c>
      <c r="H63" s="107"/>
      <c r="I63" s="2"/>
      <c r="J63" s="2"/>
      <c r="K63" s="190" t="s">
        <v>66</v>
      </c>
    </row>
    <row r="64" spans="2:13" x14ac:dyDescent="0.3">
      <c r="B64" s="24"/>
      <c r="E64" s="107"/>
      <c r="F64" s="107"/>
      <c r="G64" s="107"/>
      <c r="H64" s="107"/>
      <c r="I64" s="2"/>
      <c r="J64" s="2"/>
      <c r="K64" s="190"/>
    </row>
    <row r="65" spans="2:11" x14ac:dyDescent="0.3">
      <c r="B65" s="24"/>
      <c r="C65" s="1" t="s">
        <v>167</v>
      </c>
      <c r="E65" s="36">
        <f>E62/E63</f>
        <v>36899.550444444445</v>
      </c>
      <c r="F65" s="36">
        <f>F62/F63</f>
        <v>36893.94540273193</v>
      </c>
      <c r="G65" s="36">
        <f t="shared" ref="G65" si="13">G62/G63</f>
        <v>36893.94540273193</v>
      </c>
      <c r="H65" s="36"/>
      <c r="I65" s="209" t="s">
        <v>68</v>
      </c>
      <c r="J65" s="2"/>
      <c r="K65" s="190" t="s">
        <v>69</v>
      </c>
    </row>
    <row r="66" spans="2:11" x14ac:dyDescent="0.3">
      <c r="B66" s="24"/>
      <c r="C66" s="1" t="s">
        <v>168</v>
      </c>
      <c r="E66" s="88">
        <f>(($E$56/$E$57*E59)/E60)</f>
        <v>36534.208360836084</v>
      </c>
      <c r="F66" s="88">
        <f>E66*(1+tab!F85)</f>
        <v>36592.663094213422</v>
      </c>
      <c r="G66" s="88">
        <f>E66*(1+tab!G85)</f>
        <v>36592.663094213422</v>
      </c>
      <c r="H66" s="88"/>
      <c r="I66" s="133" t="s">
        <v>71</v>
      </c>
      <c r="J66" s="2"/>
      <c r="K66" s="190" t="s">
        <v>72</v>
      </c>
    </row>
    <row r="67" spans="2:11" x14ac:dyDescent="0.3">
      <c r="B67" s="24"/>
      <c r="C67" s="1" t="s">
        <v>73</v>
      </c>
      <c r="E67" s="102">
        <f>tab!E81</f>
        <v>0.75</v>
      </c>
      <c r="F67" s="102">
        <f>tab!F81</f>
        <v>0.5</v>
      </c>
      <c r="G67" s="102">
        <f>tab!G81</f>
        <v>0.25</v>
      </c>
      <c r="H67" s="102"/>
      <c r="I67" s="134"/>
      <c r="J67" s="2"/>
      <c r="K67" s="190" t="s">
        <v>74</v>
      </c>
    </row>
    <row r="68" spans="2:11" x14ac:dyDescent="0.3">
      <c r="B68" s="24"/>
      <c r="E68" s="89"/>
      <c r="F68" s="89"/>
      <c r="G68" s="89"/>
      <c r="H68" s="89"/>
      <c r="I68" s="134"/>
      <c r="J68" s="2"/>
      <c r="K68" s="25"/>
    </row>
    <row r="69" spans="2:11" x14ac:dyDescent="0.3">
      <c r="B69" s="24"/>
      <c r="C69" s="1" t="s">
        <v>169</v>
      </c>
      <c r="E69" s="36">
        <f>(E66-E65)*E63</f>
        <v>-32880.78752475245</v>
      </c>
      <c r="F69" s="36">
        <f t="shared" ref="F69:G69" si="14">(F66-F65)*F63</f>
        <v>-27115.407766665739</v>
      </c>
      <c r="G69" s="36">
        <f t="shared" si="14"/>
        <v>-27115.407766665739</v>
      </c>
      <c r="H69" s="36"/>
      <c r="I69" s="134" t="s">
        <v>76</v>
      </c>
      <c r="J69" s="2"/>
      <c r="K69" s="25"/>
    </row>
    <row r="70" spans="2:11" x14ac:dyDescent="0.3">
      <c r="B70" s="24"/>
      <c r="C70" s="1" t="s">
        <v>170</v>
      </c>
      <c r="E70" s="36">
        <f>(E66-E65)*E67*E63</f>
        <v>-24660.590643564337</v>
      </c>
      <c r="F70" s="36">
        <f t="shared" ref="F70:G70" si="15">(F66-F65)*F67*F63</f>
        <v>-13557.70388333287</v>
      </c>
      <c r="G70" s="36">
        <f t="shared" si="15"/>
        <v>-6778.8519416664349</v>
      </c>
      <c r="H70" s="36"/>
      <c r="I70" s="134" t="s">
        <v>78</v>
      </c>
      <c r="J70" s="2"/>
      <c r="K70" s="25"/>
    </row>
    <row r="71" spans="2:11" s="49" customFormat="1" hidden="1" x14ac:dyDescent="0.3">
      <c r="B71" s="183"/>
      <c r="C71" s="210" t="s">
        <v>79</v>
      </c>
      <c r="E71" s="90">
        <f>(((E65*E63)+E70)-(E66*E63))</f>
        <v>8220.1968811880797</v>
      </c>
      <c r="F71" s="90">
        <f t="shared" ref="F71:G71" si="16">(((F65*F63)+F70)-(F66*F63))</f>
        <v>13557.703883332666</v>
      </c>
      <c r="G71" s="90">
        <f t="shared" si="16"/>
        <v>20336.555824998766</v>
      </c>
      <c r="H71" s="90"/>
      <c r="I71" s="211"/>
      <c r="J71" s="211"/>
      <c r="K71" s="187"/>
    </row>
    <row r="72" spans="2:11" s="49" customFormat="1" hidden="1" x14ac:dyDescent="0.3">
      <c r="B72" s="183"/>
      <c r="C72" s="210" t="s">
        <v>80</v>
      </c>
      <c r="E72" s="215">
        <f>tab!E82</f>
        <v>-0.01</v>
      </c>
      <c r="F72" s="215">
        <f>tab!F82</f>
        <v>-0.02</v>
      </c>
      <c r="G72" s="215">
        <f>tab!G82</f>
        <v>-0.03</v>
      </c>
      <c r="H72" s="94"/>
      <c r="I72" s="211"/>
      <c r="J72" s="211"/>
      <c r="K72" s="187"/>
    </row>
    <row r="73" spans="2:11" s="49" customFormat="1" hidden="1" x14ac:dyDescent="0.3">
      <c r="B73" s="183"/>
      <c r="C73" s="210" t="s">
        <v>81</v>
      </c>
      <c r="E73" s="90">
        <f>(E66*E63)*E72</f>
        <v>-32880.787524752479</v>
      </c>
      <c r="F73" s="90">
        <f t="shared" ref="F73:G73" si="17">(F66*F63)*F72</f>
        <v>-65866.793569584159</v>
      </c>
      <c r="G73" s="90">
        <f t="shared" si="17"/>
        <v>-98800.190354376246</v>
      </c>
      <c r="H73" s="90"/>
      <c r="I73" s="211"/>
      <c r="J73" s="211"/>
      <c r="K73" s="187"/>
    </row>
    <row r="74" spans="2:11" s="49" customFormat="1" hidden="1" x14ac:dyDescent="0.3">
      <c r="B74" s="183"/>
      <c r="C74" s="184" t="s">
        <v>82</v>
      </c>
      <c r="E74" s="91">
        <f>IF(E71&gt;E73,0,((E71-E73)*-1))</f>
        <v>0</v>
      </c>
      <c r="F74" s="91">
        <f t="shared" ref="F74:G74" si="18">IF(F71&gt;F73,0,((F71-F73)*-1))</f>
        <v>0</v>
      </c>
      <c r="G74" s="91">
        <f t="shared" si="18"/>
        <v>0</v>
      </c>
      <c r="H74" s="91"/>
      <c r="I74" s="211"/>
      <c r="J74" s="211"/>
      <c r="K74" s="187"/>
    </row>
    <row r="75" spans="2:11" s="49" customFormat="1" hidden="1" x14ac:dyDescent="0.3">
      <c r="B75" s="183"/>
      <c r="C75" s="210" t="s">
        <v>83</v>
      </c>
      <c r="E75" s="215">
        <f>tab!E83</f>
        <v>0.01</v>
      </c>
      <c r="F75" s="215">
        <f>tab!F83</f>
        <v>0.02</v>
      </c>
      <c r="G75" s="215">
        <f>tab!G83</f>
        <v>0.03</v>
      </c>
      <c r="H75" s="94"/>
      <c r="I75" s="211"/>
      <c r="J75" s="211"/>
      <c r="K75" s="187"/>
    </row>
    <row r="76" spans="2:11" s="49" customFormat="1" hidden="1" x14ac:dyDescent="0.3">
      <c r="B76" s="183"/>
      <c r="C76" s="210" t="s">
        <v>84</v>
      </c>
      <c r="E76" s="90">
        <f>(E66*E63)*E75</f>
        <v>32880.787524752479</v>
      </c>
      <c r="F76" s="90">
        <f t="shared" ref="F76:G76" si="19">(F66*F63)*F75</f>
        <v>65866.793569584159</v>
      </c>
      <c r="G76" s="90">
        <f t="shared" si="19"/>
        <v>98800.190354376246</v>
      </c>
      <c r="H76" s="90"/>
      <c r="I76" s="211"/>
      <c r="J76" s="211"/>
      <c r="K76" s="187"/>
    </row>
    <row r="77" spans="2:11" s="49" customFormat="1" hidden="1" x14ac:dyDescent="0.3">
      <c r="B77" s="183"/>
      <c r="C77" s="184" t="s">
        <v>85</v>
      </c>
      <c r="E77" s="91">
        <f>IF(E71&lt;E76,0,(E76-E71)*1)</f>
        <v>0</v>
      </c>
      <c r="F77" s="91">
        <f t="shared" ref="F77:G77" si="20">IF(F71&lt;F76,0,(F76-F71)*1)</f>
        <v>0</v>
      </c>
      <c r="G77" s="91">
        <f t="shared" si="20"/>
        <v>0</v>
      </c>
      <c r="H77" s="91"/>
      <c r="I77" s="211"/>
      <c r="J77" s="211"/>
      <c r="K77" s="187"/>
    </row>
    <row r="78" spans="2:11" x14ac:dyDescent="0.3">
      <c r="B78" s="24"/>
      <c r="C78" s="1" t="s">
        <v>86</v>
      </c>
      <c r="E78" s="36">
        <f>IF(E77=0,E74,E77)</f>
        <v>0</v>
      </c>
      <c r="F78" s="36">
        <f t="shared" ref="F78:G78" si="21">IF(F77=0,F74,F77)</f>
        <v>0</v>
      </c>
      <c r="G78" s="36">
        <f t="shared" si="21"/>
        <v>0</v>
      </c>
      <c r="H78" s="36"/>
      <c r="I78" s="2"/>
      <c r="J78" s="2"/>
      <c r="K78" s="25"/>
    </row>
    <row r="79" spans="2:11" x14ac:dyDescent="0.3">
      <c r="B79" s="24"/>
      <c r="C79" s="1" t="s">
        <v>87</v>
      </c>
      <c r="E79" s="92">
        <f>E70+E78</f>
        <v>-24660.590643564337</v>
      </c>
      <c r="F79" s="92">
        <f>F70+F78</f>
        <v>-13557.70388333287</v>
      </c>
      <c r="G79" s="92">
        <f>G70+G78</f>
        <v>-6778.8519416664349</v>
      </c>
      <c r="H79" s="92"/>
      <c r="I79" s="2"/>
      <c r="J79" s="2"/>
      <c r="K79" s="25"/>
    </row>
    <row r="80" spans="2:11" x14ac:dyDescent="0.3">
      <c r="B80" s="24"/>
      <c r="G80" s="2"/>
      <c r="H80" s="2"/>
      <c r="I80" s="2"/>
      <c r="J80" s="2"/>
      <c r="K80" s="25"/>
    </row>
    <row r="81" spans="2:11" x14ac:dyDescent="0.3">
      <c r="B81" s="24"/>
      <c r="C81" s="3" t="s">
        <v>88</v>
      </c>
      <c r="E81" s="214">
        <f t="shared" ref="E81:J81" si="22">E51+E79</f>
        <v>3305301.649356436</v>
      </c>
      <c r="F81" s="214">
        <f t="shared" si="22"/>
        <v>3315900.0823625415</v>
      </c>
      <c r="G81" s="214">
        <f t="shared" si="22"/>
        <v>3313676.2343042074</v>
      </c>
      <c r="H81" s="214">
        <f t="shared" si="22"/>
        <v>3320455.0862458739</v>
      </c>
      <c r="I81" s="214">
        <f t="shared" si="22"/>
        <v>3320455.0862458739</v>
      </c>
      <c r="J81" s="214">
        <f t="shared" si="22"/>
        <v>3320455.0862458739</v>
      </c>
      <c r="K81" s="25"/>
    </row>
    <row r="82" spans="2:11" x14ac:dyDescent="0.3">
      <c r="B82" s="26"/>
      <c r="C82" s="31"/>
      <c r="D82" s="31"/>
      <c r="E82" s="31"/>
      <c r="F82" s="212"/>
      <c r="G82" s="31"/>
      <c r="H82" s="31"/>
      <c r="I82" s="31"/>
      <c r="J82" s="31"/>
      <c r="K82" s="27"/>
    </row>
    <row r="84" spans="2:11" x14ac:dyDescent="0.3">
      <c r="C84" s="130"/>
      <c r="H84" s="2"/>
      <c r="I84" s="2"/>
      <c r="J84" s="2"/>
    </row>
  </sheetData>
  <sheetProtection algorithmName="SHA-512" hashValue="Qkpm2HOXNYsImj1p2spdqKFnX64l/Hz9KGW9Aez6VwQvDj6KY4SUoZPqp2gayrove8s/82cGWLKB71MNWLP1yQ==" saltValue="jKUYtG5SV2x+s7T55KY1rA==" spinCount="100000" sheet="1" objects="1" scenarios="1"/>
  <mergeCells count="2">
    <mergeCell ref="F5:G5"/>
    <mergeCell ref="F6:G6"/>
  </mergeCells>
  <hyperlinks>
    <hyperlink ref="G56" r:id="rId1" xr:uid="{5720679B-85B0-4373-9F4D-0AE00CB1D9BB}"/>
    <hyperlink ref="G57" r:id="rId2" xr:uid="{8C7385B8-69CE-4496-A153-A844ECCA7BFE}"/>
    <hyperlink ref="M39" r:id="rId3" xr:uid="{A1BDDA27-56B5-4741-967D-0B98019D8C69}"/>
    <hyperlink ref="M40" r:id="rId4" xr:uid="{55DF97BB-79D4-41E0-B0F0-ECCBC79CB8BE}"/>
    <hyperlink ref="C54" r:id="rId5" xr:uid="{78AD0329-5A00-4229-8ED8-05A93A927747}"/>
  </hyperlinks>
  <pageMargins left="0.7" right="0.7" top="0.75" bottom="0.75" header="0.3" footer="0.3"/>
  <pageSetup paperSize="9" scale="60" orientation="portrait"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9A89E-C46D-412C-B2B9-DF1F80194B26}">
  <sheetPr>
    <tabColor theme="8" tint="0.79998168889431442"/>
  </sheetPr>
  <dimension ref="B2:G20"/>
  <sheetViews>
    <sheetView zoomScale="85" zoomScaleNormal="85" workbookViewId="0">
      <selection activeCell="E7" sqref="E7"/>
    </sheetView>
  </sheetViews>
  <sheetFormatPr defaultColWidth="8.6640625" defaultRowHeight="13.8" x14ac:dyDescent="0.3"/>
  <cols>
    <col min="1" max="2" width="2.5546875" style="1" customWidth="1"/>
    <col min="3" max="3" width="56.109375" style="1" customWidth="1"/>
    <col min="4" max="4" width="1.5546875" style="1" customWidth="1"/>
    <col min="5" max="6" width="14.6640625" style="1" customWidth="1"/>
    <col min="7" max="7" width="2.5546875" style="1" customWidth="1"/>
    <col min="8" max="10" width="14.6640625" style="1" customWidth="1"/>
    <col min="11" max="12" width="2.5546875" style="1" customWidth="1"/>
    <col min="13" max="16384" width="8.6640625" style="1"/>
  </cols>
  <sheetData>
    <row r="2" spans="2:7" ht="15.6" x14ac:dyDescent="0.3">
      <c r="B2" s="9" t="s">
        <v>215</v>
      </c>
    </row>
    <row r="4" spans="2:7" x14ac:dyDescent="0.3">
      <c r="B4" s="37"/>
      <c r="C4" s="38"/>
      <c r="D4" s="38"/>
      <c r="E4" s="38"/>
      <c r="F4" s="38"/>
      <c r="G4" s="39"/>
    </row>
    <row r="5" spans="2:7" x14ac:dyDescent="0.3">
      <c r="B5" s="40"/>
      <c r="C5" s="45" t="s">
        <v>216</v>
      </c>
      <c r="E5" s="46">
        <f>tab!F2</f>
        <v>2024</v>
      </c>
      <c r="G5" s="41"/>
    </row>
    <row r="6" spans="2:7" x14ac:dyDescent="0.3">
      <c r="B6" s="40"/>
      <c r="G6" s="41"/>
    </row>
    <row r="7" spans="2:7" x14ac:dyDescent="0.3">
      <c r="B7" s="40"/>
      <c r="C7" s="1" t="s">
        <v>217</v>
      </c>
      <c r="E7" s="97">
        <v>4041.53</v>
      </c>
      <c r="F7" s="2"/>
      <c r="G7" s="41"/>
    </row>
    <row r="8" spans="2:7" x14ac:dyDescent="0.3">
      <c r="B8" s="40"/>
      <c r="C8" s="1" t="s">
        <v>218</v>
      </c>
      <c r="E8" s="103">
        <v>25</v>
      </c>
      <c r="F8" s="6">
        <f>E8*E7</f>
        <v>101038.25</v>
      </c>
      <c r="G8" s="41"/>
    </row>
    <row r="9" spans="2:7" x14ac:dyDescent="0.3">
      <c r="B9" s="42"/>
      <c r="C9" s="43"/>
      <c r="D9" s="43"/>
      <c r="E9" s="98"/>
      <c r="F9" s="98"/>
      <c r="G9" s="44"/>
    </row>
    <row r="10" spans="2:7" x14ac:dyDescent="0.3">
      <c r="E10" s="2"/>
      <c r="F10" s="2"/>
    </row>
    <row r="11" spans="2:7" x14ac:dyDescent="0.3">
      <c r="B11" s="37"/>
      <c r="C11" s="38"/>
      <c r="D11" s="38"/>
      <c r="E11" s="99"/>
      <c r="F11" s="99"/>
      <c r="G11" s="39"/>
    </row>
    <row r="12" spans="2:7" x14ac:dyDescent="0.3">
      <c r="B12" s="40"/>
      <c r="C12" s="45" t="s">
        <v>219</v>
      </c>
      <c r="E12" s="105">
        <f>tab!F2</f>
        <v>2024</v>
      </c>
      <c r="F12" s="2"/>
      <c r="G12" s="41"/>
    </row>
    <row r="13" spans="2:7" x14ac:dyDescent="0.3">
      <c r="B13" s="40"/>
      <c r="E13" s="106"/>
      <c r="F13" s="2"/>
      <c r="G13" s="41"/>
    </row>
    <row r="14" spans="2:7" x14ac:dyDescent="0.3">
      <c r="B14" s="40"/>
      <c r="C14" s="1" t="s">
        <v>220</v>
      </c>
      <c r="E14" s="103">
        <v>50</v>
      </c>
      <c r="F14" s="2"/>
      <c r="G14" s="41"/>
    </row>
    <row r="15" spans="2:7" x14ac:dyDescent="0.3">
      <c r="B15" s="40"/>
      <c r="C15" s="1" t="s">
        <v>221</v>
      </c>
      <c r="E15" s="103">
        <v>1</v>
      </c>
      <c r="F15" s="2">
        <f>E15*tab!F61</f>
        <v>47327.659836284998</v>
      </c>
      <c r="G15" s="41"/>
    </row>
    <row r="16" spans="2:7" x14ac:dyDescent="0.3">
      <c r="B16" s="40"/>
      <c r="C16" s="1" t="s">
        <v>222</v>
      </c>
      <c r="E16" s="103">
        <v>100</v>
      </c>
      <c r="F16" s="2">
        <f>E16*tab!F62</f>
        <v>544933.21206960001</v>
      </c>
      <c r="G16" s="41"/>
    </row>
    <row r="17" spans="2:7" x14ac:dyDescent="0.3">
      <c r="B17" s="40"/>
      <c r="C17" s="1" t="s">
        <v>223</v>
      </c>
      <c r="E17" s="104">
        <f>IF((E16-E14)&lt;0,0,(E16-E14))</f>
        <v>50</v>
      </c>
      <c r="F17" s="2">
        <f>E17*tab!F63</f>
        <v>1184670.52120905</v>
      </c>
      <c r="G17" s="41"/>
    </row>
    <row r="18" spans="2:7" x14ac:dyDescent="0.3">
      <c r="B18" s="40"/>
      <c r="C18" s="3" t="s">
        <v>113</v>
      </c>
      <c r="D18" s="3"/>
      <c r="E18" s="6"/>
      <c r="F18" s="6">
        <f>SUM(F15:F17)</f>
        <v>1776931.3931149351</v>
      </c>
      <c r="G18" s="41"/>
    </row>
    <row r="19" spans="2:7" x14ac:dyDescent="0.3">
      <c r="B19" s="42"/>
      <c r="C19" s="43"/>
      <c r="D19" s="43"/>
      <c r="E19" s="43"/>
      <c r="F19" s="63"/>
      <c r="G19" s="44"/>
    </row>
    <row r="20" spans="2:7" x14ac:dyDescent="0.3">
      <c r="F20" s="62"/>
    </row>
  </sheetData>
  <sheetProtection algorithmName="SHA-512" hashValue="+VbXASiLZKZ3En00FXy3vajsZugydG1K40OWTck6MjAmGi+EmOLQLvpZmY6yYBZBDUhG5iBV+3hxLWC86140EQ==" saltValue="WKIOc2XpQHAdw/9+Cwautw==" spinCount="100000" sheet="1" objects="1" scenarios="1"/>
  <pageMargins left="0.7" right="0.7" top="0.75" bottom="0.75" header="0.3" footer="0.3"/>
  <pageSetup paperSize="9" scale="6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08DEB-7916-4D5D-B146-FDF205886DBD}">
  <sheetPr>
    <tabColor theme="5" tint="0.79998168889431442"/>
  </sheetPr>
  <dimension ref="B2:J36"/>
  <sheetViews>
    <sheetView zoomScale="85" zoomScaleNormal="85" workbookViewId="0">
      <selection activeCell="E20" sqref="E20"/>
    </sheetView>
  </sheetViews>
  <sheetFormatPr defaultColWidth="8.6640625" defaultRowHeight="13.8" x14ac:dyDescent="0.3"/>
  <cols>
    <col min="1" max="2" width="2.5546875" style="1" customWidth="1"/>
    <col min="3" max="3" width="50.88671875" style="1" customWidth="1"/>
    <col min="4" max="4" width="1.5546875" style="1" customWidth="1"/>
    <col min="5" max="5" width="14.5546875" style="2" customWidth="1"/>
    <col min="6" max="9" width="14.5546875" style="1" customWidth="1"/>
    <col min="10" max="10" width="2.5546875" style="1" customWidth="1"/>
    <col min="11" max="16384" width="8.6640625" style="1"/>
  </cols>
  <sheetData>
    <row r="2" spans="2:10" ht="15.6" x14ac:dyDescent="0.3">
      <c r="B2" s="9" t="s">
        <v>224</v>
      </c>
    </row>
    <row r="4" spans="2:10" x14ac:dyDescent="0.3">
      <c r="B4" s="20"/>
      <c r="C4" s="21"/>
      <c r="D4" s="21"/>
      <c r="E4" s="22"/>
      <c r="F4" s="21"/>
      <c r="G4" s="21"/>
      <c r="H4" s="21"/>
      <c r="I4" s="21"/>
      <c r="J4" s="23"/>
    </row>
    <row r="5" spans="2:10" ht="12.9" customHeight="1" x14ac:dyDescent="0.3">
      <c r="B5" s="24"/>
      <c r="C5" s="1" t="s">
        <v>225</v>
      </c>
      <c r="E5" s="250" t="s">
        <v>226</v>
      </c>
      <c r="F5" s="251"/>
      <c r="J5" s="25"/>
    </row>
    <row r="6" spans="2:10" ht="12.9" customHeight="1" x14ac:dyDescent="0.3">
      <c r="B6" s="24"/>
      <c r="C6" s="1" t="s">
        <v>227</v>
      </c>
      <c r="E6" s="255">
        <v>10001</v>
      </c>
      <c r="F6" s="256"/>
      <c r="J6" s="25"/>
    </row>
    <row r="7" spans="2:10" x14ac:dyDescent="0.3">
      <c r="B7" s="24"/>
      <c r="J7" s="25"/>
    </row>
    <row r="8" spans="2:10" x14ac:dyDescent="0.3">
      <c r="B8" s="24"/>
      <c r="C8" s="10" t="s">
        <v>20</v>
      </c>
      <c r="D8" s="11"/>
      <c r="E8" s="12">
        <f>tab!F2</f>
        <v>2024</v>
      </c>
      <c r="F8" s="12">
        <f>tab!G2</f>
        <v>2025</v>
      </c>
      <c r="G8" s="12">
        <f>tab!H2</f>
        <v>2026</v>
      </c>
      <c r="H8" s="12">
        <f>tab!I2</f>
        <v>2027</v>
      </c>
      <c r="I8" s="12">
        <f>tab!J2</f>
        <v>2028</v>
      </c>
      <c r="J8" s="25"/>
    </row>
    <row r="9" spans="2:10" x14ac:dyDescent="0.3">
      <c r="B9" s="24"/>
      <c r="C9" s="10" t="s">
        <v>21</v>
      </c>
      <c r="D9" s="11"/>
      <c r="E9" s="13" t="str">
        <f>tab!F4</f>
        <v>1-2-2023</v>
      </c>
      <c r="F9" s="13" t="str">
        <f>tab!G4</f>
        <v>1-2-2024</v>
      </c>
      <c r="G9" s="13" t="str">
        <f>tab!H4</f>
        <v>1-2-2025</v>
      </c>
      <c r="H9" s="13" t="str">
        <f>tab!I4</f>
        <v>1-2-2026</v>
      </c>
      <c r="I9" s="13" t="str">
        <f>tab!J4</f>
        <v>1-2-2027</v>
      </c>
      <c r="J9" s="25"/>
    </row>
    <row r="10" spans="2:10" x14ac:dyDescent="0.3">
      <c r="B10" s="24"/>
      <c r="C10" s="3" t="s">
        <v>22</v>
      </c>
      <c r="E10" s="5"/>
      <c r="F10" s="5"/>
      <c r="G10" s="5"/>
      <c r="H10" s="5"/>
      <c r="I10" s="5"/>
      <c r="J10" s="25"/>
    </row>
    <row r="11" spans="2:10" x14ac:dyDescent="0.3">
      <c r="B11" s="24"/>
      <c r="C11" s="1" t="s">
        <v>228</v>
      </c>
      <c r="E11" s="53">
        <v>10000</v>
      </c>
      <c r="F11" s="53">
        <f t="shared" ref="F11:I17" si="0">E11</f>
        <v>10000</v>
      </c>
      <c r="G11" s="53">
        <f t="shared" si="0"/>
        <v>10000</v>
      </c>
      <c r="H11" s="53">
        <f t="shared" si="0"/>
        <v>10000</v>
      </c>
      <c r="I11" s="53">
        <f t="shared" si="0"/>
        <v>10000</v>
      </c>
      <c r="J11" s="25"/>
    </row>
    <row r="12" spans="2:10" x14ac:dyDescent="0.3">
      <c r="B12" s="24"/>
      <c r="C12" s="1" t="s">
        <v>229</v>
      </c>
      <c r="E12" s="53">
        <v>100</v>
      </c>
      <c r="F12" s="53">
        <f t="shared" si="0"/>
        <v>100</v>
      </c>
      <c r="G12" s="53">
        <f t="shared" si="0"/>
        <v>100</v>
      </c>
      <c r="H12" s="53">
        <f t="shared" si="0"/>
        <v>100</v>
      </c>
      <c r="I12" s="53">
        <f t="shared" si="0"/>
        <v>100</v>
      </c>
      <c r="J12" s="25"/>
    </row>
    <row r="13" spans="2:10" x14ac:dyDescent="0.3">
      <c r="B13" s="24"/>
      <c r="C13" s="1" t="s">
        <v>230</v>
      </c>
      <c r="E13" s="53">
        <v>2500</v>
      </c>
      <c r="F13" s="53">
        <f>E13</f>
        <v>2500</v>
      </c>
      <c r="G13" s="53">
        <f>F13</f>
        <v>2500</v>
      </c>
      <c r="H13" s="53">
        <f>G13</f>
        <v>2500</v>
      </c>
      <c r="I13" s="53">
        <f>H13</f>
        <v>2500</v>
      </c>
      <c r="J13" s="25"/>
    </row>
    <row r="14" spans="2:10" x14ac:dyDescent="0.3">
      <c r="B14" s="24"/>
      <c r="C14" s="1" t="s">
        <v>231</v>
      </c>
      <c r="E14" s="53">
        <v>100</v>
      </c>
      <c r="F14" s="53">
        <f t="shared" ref="F14:I14" si="1">E14</f>
        <v>100</v>
      </c>
      <c r="G14" s="53">
        <f t="shared" si="1"/>
        <v>100</v>
      </c>
      <c r="H14" s="53">
        <f t="shared" si="1"/>
        <v>100</v>
      </c>
      <c r="I14" s="53">
        <f t="shared" si="1"/>
        <v>100</v>
      </c>
      <c r="J14" s="25"/>
    </row>
    <row r="15" spans="2:10" x14ac:dyDescent="0.3">
      <c r="B15" s="24"/>
      <c r="C15" s="1" t="s">
        <v>232</v>
      </c>
      <c r="E15" s="53">
        <v>10</v>
      </c>
      <c r="F15" s="53">
        <f t="shared" si="0"/>
        <v>10</v>
      </c>
      <c r="G15" s="53">
        <f t="shared" si="0"/>
        <v>10</v>
      </c>
      <c r="H15" s="53">
        <f t="shared" si="0"/>
        <v>10</v>
      </c>
      <c r="I15" s="53">
        <f t="shared" si="0"/>
        <v>10</v>
      </c>
      <c r="J15" s="25"/>
    </row>
    <row r="16" spans="2:10" x14ac:dyDescent="0.3">
      <c r="B16" s="24"/>
      <c r="C16" s="1" t="s">
        <v>233</v>
      </c>
      <c r="E16" s="53">
        <v>5</v>
      </c>
      <c r="F16" s="53">
        <f t="shared" si="0"/>
        <v>5</v>
      </c>
      <c r="G16" s="53">
        <f t="shared" si="0"/>
        <v>5</v>
      </c>
      <c r="H16" s="53">
        <f t="shared" si="0"/>
        <v>5</v>
      </c>
      <c r="I16" s="53">
        <f t="shared" si="0"/>
        <v>5</v>
      </c>
      <c r="J16" s="25"/>
    </row>
    <row r="17" spans="2:10" x14ac:dyDescent="0.3">
      <c r="B17" s="24"/>
      <c r="C17" s="1" t="s">
        <v>234</v>
      </c>
      <c r="E17" s="53">
        <v>1</v>
      </c>
      <c r="F17" s="53">
        <f t="shared" si="0"/>
        <v>1</v>
      </c>
      <c r="G17" s="53">
        <f t="shared" si="0"/>
        <v>1</v>
      </c>
      <c r="H17" s="53">
        <f t="shared" si="0"/>
        <v>1</v>
      </c>
      <c r="I17" s="53">
        <f t="shared" si="0"/>
        <v>1</v>
      </c>
      <c r="J17" s="25"/>
    </row>
    <row r="18" spans="2:10" x14ac:dyDescent="0.3">
      <c r="B18" s="24"/>
      <c r="E18" s="1"/>
      <c r="J18" s="25"/>
    </row>
    <row r="19" spans="2:10" x14ac:dyDescent="0.3">
      <c r="B19" s="24"/>
      <c r="E19" s="4"/>
      <c r="F19" s="4"/>
      <c r="G19" s="4"/>
      <c r="H19" s="4"/>
      <c r="I19" s="4"/>
      <c r="J19" s="25"/>
    </row>
    <row r="20" spans="2:10" x14ac:dyDescent="0.3">
      <c r="B20" s="24"/>
      <c r="C20" s="1" t="s">
        <v>235</v>
      </c>
      <c r="D20" s="3"/>
      <c r="E20" s="82">
        <f>(E11*tab!F66)</f>
        <v>3563558.6132100001</v>
      </c>
      <c r="F20" s="82">
        <f>(F11*tab!G66)</f>
        <v>3563558.6132100001</v>
      </c>
      <c r="G20" s="82">
        <f>(G11*tab!H66)</f>
        <v>3563558.6132100001</v>
      </c>
      <c r="H20" s="82">
        <f>(H11*tab!I66)</f>
        <v>3563558.6132100001</v>
      </c>
      <c r="I20" s="82">
        <f>(I11*tab!J66)</f>
        <v>3563558.6132100001</v>
      </c>
      <c r="J20" s="25"/>
    </row>
    <row r="21" spans="2:10" x14ac:dyDescent="0.3">
      <c r="B21" s="24"/>
      <c r="C21" s="1" t="s">
        <v>236</v>
      </c>
      <c r="D21" s="3"/>
      <c r="E21" s="82">
        <f>((E11+E12)*tab!F68)</f>
        <v>4956024.0655736998</v>
      </c>
      <c r="F21" s="82">
        <f>((F11+F12)*tab!G68)</f>
        <v>4956024.0655736998</v>
      </c>
      <c r="G21" s="82">
        <f>((G11+G12)*tab!H68)</f>
        <v>4956024.0655736998</v>
      </c>
      <c r="H21" s="82">
        <f>((H11+H12)*tab!I68)</f>
        <v>4956024.0655736998</v>
      </c>
      <c r="I21" s="82">
        <f>((I11+I12)*tab!J68)</f>
        <v>4956024.0655736998</v>
      </c>
      <c r="J21" s="25"/>
    </row>
    <row r="22" spans="2:10" x14ac:dyDescent="0.3">
      <c r="B22" s="24"/>
      <c r="C22" s="1" t="s">
        <v>237</v>
      </c>
      <c r="D22" s="3"/>
      <c r="E22" s="82">
        <f>E13*tab!F72</f>
        <v>37719.269572500001</v>
      </c>
      <c r="F22" s="82">
        <f>F13*tab!G72</f>
        <v>37719.269572500001</v>
      </c>
      <c r="G22" s="82">
        <f>G13*tab!H72</f>
        <v>37719.269572500001</v>
      </c>
      <c r="H22" s="82">
        <f>H13*tab!I72</f>
        <v>37719.269572500001</v>
      </c>
      <c r="I22" s="82">
        <f>I13*tab!J72</f>
        <v>37719.269572500001</v>
      </c>
      <c r="J22" s="25"/>
    </row>
    <row r="23" spans="2:10" x14ac:dyDescent="0.3">
      <c r="B23" s="24"/>
      <c r="C23" s="3" t="s">
        <v>238</v>
      </c>
      <c r="D23" s="3"/>
      <c r="E23" s="6">
        <f>SUM(E20:E22)</f>
        <v>8557301.9483562</v>
      </c>
      <c r="F23" s="6">
        <f>SUM(F20:F22)</f>
        <v>8557301.9483562</v>
      </c>
      <c r="G23" s="6">
        <f>SUM(G20:G22)</f>
        <v>8557301.9483562</v>
      </c>
      <c r="H23" s="6">
        <f>SUM(H20:H22)</f>
        <v>8557301.9483562</v>
      </c>
      <c r="I23" s="6">
        <f>SUM(I20:I22)</f>
        <v>8557301.9483562</v>
      </c>
      <c r="J23" s="25"/>
    </row>
    <row r="24" spans="2:10" x14ac:dyDescent="0.3">
      <c r="B24" s="24"/>
      <c r="C24" s="3"/>
      <c r="D24" s="3"/>
      <c r="E24" s="6"/>
      <c r="F24" s="6"/>
      <c r="G24" s="6"/>
      <c r="H24" s="6"/>
      <c r="I24" s="6"/>
      <c r="J24" s="25"/>
    </row>
    <row r="25" spans="2:10" x14ac:dyDescent="0.3">
      <c r="B25" s="24"/>
      <c r="C25" s="7" t="s">
        <v>239</v>
      </c>
      <c r="D25" s="3"/>
      <c r="E25" s="6"/>
      <c r="F25" s="6"/>
      <c r="G25" s="6"/>
      <c r="H25" s="6"/>
      <c r="I25" s="6"/>
      <c r="J25" s="25"/>
    </row>
    <row r="26" spans="2:10" x14ac:dyDescent="0.3">
      <c r="B26" s="24"/>
      <c r="C26" s="1" t="s">
        <v>240</v>
      </c>
      <c r="D26" s="3"/>
      <c r="E26" s="2">
        <f>(E14*tab!F67)</f>
        <v>663452.20629929996</v>
      </c>
      <c r="F26" s="2">
        <f>(F14*tab!G67)</f>
        <v>663452.20629929996</v>
      </c>
      <c r="G26" s="2">
        <f>(G14*tab!H67)</f>
        <v>663452.20629929996</v>
      </c>
      <c r="H26" s="2">
        <f>(H14*tab!I67)</f>
        <v>663452.20629929996</v>
      </c>
      <c r="I26" s="2">
        <f>(I14*tab!J67)</f>
        <v>663452.20629929996</v>
      </c>
      <c r="J26" s="25"/>
    </row>
    <row r="27" spans="2:10" x14ac:dyDescent="0.3">
      <c r="B27" s="24"/>
      <c r="C27" s="1" t="s">
        <v>241</v>
      </c>
      <c r="D27" s="3"/>
      <c r="E27" s="2">
        <f>((E15*tab!F69)+(E16*tab!F70)+(E17*tab!F71))</f>
        <v>266069.13795783604</v>
      </c>
      <c r="F27" s="2">
        <f>((F15*tab!G69)+(F16*tab!G70)+(F17*tab!G71))</f>
        <v>266069.13795783604</v>
      </c>
      <c r="G27" s="2">
        <f>((G15*tab!H69)+(G16*tab!H70)+(G17*tab!H71))</f>
        <v>266069.13795783604</v>
      </c>
      <c r="H27" s="2">
        <f>((H15*tab!I69)+(H16*tab!I70)+(H17*tab!I71))</f>
        <v>266069.13795783604</v>
      </c>
      <c r="I27" s="2">
        <f>((I15*tab!J69)+(I16*tab!J70)+(I17*tab!J71))</f>
        <v>266069.13795783604</v>
      </c>
      <c r="J27" s="25"/>
    </row>
    <row r="28" spans="2:10" x14ac:dyDescent="0.3">
      <c r="B28" s="24"/>
      <c r="D28" s="3"/>
      <c r="F28" s="2"/>
      <c r="G28" s="2"/>
      <c r="H28" s="2"/>
      <c r="I28" s="2"/>
      <c r="J28" s="25"/>
    </row>
    <row r="29" spans="2:10" x14ac:dyDescent="0.3">
      <c r="B29" s="24"/>
      <c r="C29" s="3" t="s">
        <v>242</v>
      </c>
      <c r="D29" s="3"/>
      <c r="E29" s="108">
        <f>SUM(E30:E32)</f>
        <v>7627780.6040990651</v>
      </c>
      <c r="F29" s="108">
        <f t="shared" ref="F29:I29" si="2">SUM(F30:F32)</f>
        <v>7627780.6040990651</v>
      </c>
      <c r="G29" s="108">
        <f t="shared" si="2"/>
        <v>7627780.6040990651</v>
      </c>
      <c r="H29" s="108">
        <f t="shared" si="2"/>
        <v>7627780.6040990651</v>
      </c>
      <c r="I29" s="108">
        <f t="shared" si="2"/>
        <v>7627780.6040990651</v>
      </c>
      <c r="J29" s="25"/>
    </row>
    <row r="30" spans="2:10" x14ac:dyDescent="0.3">
      <c r="B30" s="24"/>
      <c r="C30" s="1" t="s">
        <v>243</v>
      </c>
      <c r="D30" s="3"/>
      <c r="E30" s="82">
        <f>IF(E20-E26&lt;0,0,E20-E26)</f>
        <v>2900106.4069107003</v>
      </c>
      <c r="F30" s="82">
        <f t="shared" ref="F30:I30" si="3">IF(F20-F26&lt;0,0,F20-F26)</f>
        <v>2900106.4069107003</v>
      </c>
      <c r="G30" s="82">
        <f t="shared" si="3"/>
        <v>2900106.4069107003</v>
      </c>
      <c r="H30" s="82">
        <f t="shared" si="3"/>
        <v>2900106.4069107003</v>
      </c>
      <c r="I30" s="82">
        <f t="shared" si="3"/>
        <v>2900106.4069107003</v>
      </c>
      <c r="J30" s="25"/>
    </row>
    <row r="31" spans="2:10" x14ac:dyDescent="0.3">
      <c r="B31" s="24"/>
      <c r="C31" s="1" t="s">
        <v>244</v>
      </c>
      <c r="D31" s="3"/>
      <c r="E31" s="82">
        <f>IF(E21-E27&lt;0,0,E21-E27)</f>
        <v>4689954.9276158642</v>
      </c>
      <c r="F31" s="82">
        <f t="shared" ref="F31:I31" si="4">IF(F21-F27&lt;0,0,F21-F27)</f>
        <v>4689954.9276158642</v>
      </c>
      <c r="G31" s="82">
        <f t="shared" si="4"/>
        <v>4689954.9276158642</v>
      </c>
      <c r="H31" s="82">
        <f t="shared" si="4"/>
        <v>4689954.9276158642</v>
      </c>
      <c r="I31" s="82">
        <f t="shared" si="4"/>
        <v>4689954.9276158642</v>
      </c>
      <c r="J31" s="25"/>
    </row>
    <row r="32" spans="2:10" x14ac:dyDescent="0.3">
      <c r="B32" s="24"/>
      <c r="C32" s="1" t="s">
        <v>245</v>
      </c>
      <c r="D32" s="3"/>
      <c r="E32" s="82">
        <f>E22</f>
        <v>37719.269572500001</v>
      </c>
      <c r="F32" s="82">
        <f t="shared" ref="F32:I32" si="5">F22</f>
        <v>37719.269572500001</v>
      </c>
      <c r="G32" s="82">
        <f t="shared" si="5"/>
        <v>37719.269572500001</v>
      </c>
      <c r="H32" s="82">
        <f t="shared" si="5"/>
        <v>37719.269572500001</v>
      </c>
      <c r="I32" s="82">
        <f t="shared" si="5"/>
        <v>37719.269572500001</v>
      </c>
      <c r="J32" s="25"/>
    </row>
    <row r="33" spans="2:10" x14ac:dyDescent="0.3">
      <c r="B33" s="26"/>
      <c r="C33" s="28"/>
      <c r="D33" s="28"/>
      <c r="E33" s="29"/>
      <c r="F33" s="29"/>
      <c r="G33" s="29"/>
      <c r="H33" s="29"/>
      <c r="I33" s="29"/>
      <c r="J33" s="27"/>
    </row>
    <row r="34" spans="2:10" x14ac:dyDescent="0.3">
      <c r="B34" s="21"/>
      <c r="C34" s="66"/>
      <c r="D34" s="66"/>
      <c r="E34" s="67"/>
      <c r="F34" s="67"/>
      <c r="G34" s="67"/>
      <c r="H34" s="67"/>
      <c r="I34" s="67"/>
      <c r="J34" s="21"/>
    </row>
    <row r="35" spans="2:10" ht="25.5" customHeight="1" x14ac:dyDescent="0.3">
      <c r="C35" s="257" t="s">
        <v>246</v>
      </c>
      <c r="D35" s="257"/>
      <c r="E35" s="257"/>
      <c r="F35" s="257"/>
      <c r="G35" s="257"/>
      <c r="H35" s="257"/>
      <c r="I35" s="257"/>
      <c r="J35" s="257"/>
    </row>
    <row r="36" spans="2:10" ht="25.5" customHeight="1" x14ac:dyDescent="0.3">
      <c r="C36" s="257" t="s">
        <v>247</v>
      </c>
      <c r="D36" s="257"/>
      <c r="E36" s="257"/>
      <c r="F36" s="257"/>
      <c r="G36" s="257"/>
      <c r="H36" s="257"/>
      <c r="I36" s="257"/>
      <c r="J36" s="257"/>
    </row>
  </sheetData>
  <sheetProtection algorithmName="SHA-512" hashValue="Yd7NAGDSyhRP/xgyvgfcXzmHArc4rqtMOI8HKm/b1wZBl7m6ResFGivsxQzaSWWM7Ul3TCE0NTMtbnekfaZxfQ==" saltValue="s2+iE3eoDqjzcvtWxy8dkQ==" spinCount="100000" sheet="1" objects="1" scenarios="1"/>
  <mergeCells count="4">
    <mergeCell ref="E5:F5"/>
    <mergeCell ref="E6:F6"/>
    <mergeCell ref="C35:J35"/>
    <mergeCell ref="C36:J36"/>
  </mergeCells>
  <pageMargins left="0.7" right="0.7" top="0.75" bottom="0.75" header="0.3" footer="0.3"/>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e408a69-fb97-4716-8af1-a872e3f7f02e" xsi:nil="true"/>
    <lcf76f155ced4ddcb4097134ff3c332f xmlns="6168b6c1-e810-47fe-8163-bf9b9d31d68b">
      <Terms xmlns="http://schemas.microsoft.com/office/infopath/2007/PartnerControls"/>
    </lcf76f155ced4ddcb4097134ff3c332f>
    <SharedWithUsers xmlns="8e408a69-fb97-4716-8af1-a872e3f7f02e">
      <UserInfo>
        <DisplayName>Harm van Gerven</DisplayName>
        <AccountId>13</AccountId>
        <AccountType/>
      </UserInfo>
      <UserInfo>
        <DisplayName>Reinier Goedhart</DisplayName>
        <AccountId>24</AccountId>
        <AccountType/>
      </UserInfo>
      <UserInfo>
        <DisplayName>Kitty Attema</DisplayName>
        <AccountId>390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A4239089D7904FAEE920AFD682F253" ma:contentTypeVersion="14" ma:contentTypeDescription="Een nieuw document maken." ma:contentTypeScope="" ma:versionID="3950f5fba55b1dd32f016ff8f3bb0797">
  <xsd:schema xmlns:xsd="http://www.w3.org/2001/XMLSchema" xmlns:xs="http://www.w3.org/2001/XMLSchema" xmlns:p="http://schemas.microsoft.com/office/2006/metadata/properties" xmlns:ns2="6168b6c1-e810-47fe-8163-bf9b9d31d68b" xmlns:ns3="8e408a69-fb97-4716-8af1-a872e3f7f02e" targetNamespace="http://schemas.microsoft.com/office/2006/metadata/properties" ma:root="true" ma:fieldsID="f930105adeb553d7ded149b7c654ab22" ns2:_="" ns3:_="">
    <xsd:import namespace="6168b6c1-e810-47fe-8163-bf9b9d31d68b"/>
    <xsd:import namespace="8e408a69-fb97-4716-8af1-a872e3f7f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8b6c1-e810-47fe-8163-bf9b9d31d6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408a69-fb97-4716-8af1-a872e3f7f02e"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18815cea-9793-4950-910a-e45689a6e2a6}" ma:internalName="TaxCatchAll" ma:showField="CatchAllData" ma:web="8e408a69-fb97-4716-8af1-a872e3f7f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5D9699-B2B0-4C0E-BFB4-32F4C8EE1C90}">
  <ds:schemaRefs>
    <ds:schemaRef ds:uri="http://schemas.microsoft.com/office/2006/metadata/properties"/>
    <ds:schemaRef ds:uri="http://schemas.microsoft.com/office/infopath/2007/PartnerControls"/>
    <ds:schemaRef ds:uri="8e408a69-fb97-4716-8af1-a872e3f7f02e"/>
    <ds:schemaRef ds:uri="6168b6c1-e810-47fe-8163-bf9b9d31d68b"/>
  </ds:schemaRefs>
</ds:datastoreItem>
</file>

<file path=customXml/itemProps2.xml><?xml version="1.0" encoding="utf-8"?>
<ds:datastoreItem xmlns:ds="http://schemas.openxmlformats.org/officeDocument/2006/customXml" ds:itemID="{286A53DF-E77B-4787-B839-7D6E3E8AC994}">
  <ds:schemaRefs>
    <ds:schemaRef ds:uri="http://schemas.microsoft.com/sharepoint/v3/contenttype/forms"/>
  </ds:schemaRefs>
</ds:datastoreItem>
</file>

<file path=customXml/itemProps3.xml><?xml version="1.0" encoding="utf-8"?>
<ds:datastoreItem xmlns:ds="http://schemas.openxmlformats.org/officeDocument/2006/customXml" ds:itemID="{EF68FA76-3592-4224-A377-208E37753D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11</vt:i4>
      </vt:variant>
    </vt:vector>
  </HeadingPairs>
  <TitlesOfParts>
    <vt:vector size="22" baseType="lpstr">
      <vt:lpstr>info</vt:lpstr>
      <vt:lpstr>bas</vt:lpstr>
      <vt:lpstr>aanv-bas</vt:lpstr>
      <vt:lpstr>groei-bas</vt:lpstr>
      <vt:lpstr>sbo</vt:lpstr>
      <vt:lpstr>aanv-sbo</vt:lpstr>
      <vt:lpstr>(v)so</vt:lpstr>
      <vt:lpstr>aanv-so</vt:lpstr>
      <vt:lpstr>swv po</vt:lpstr>
      <vt:lpstr>swv vo</vt:lpstr>
      <vt:lpstr>tab</vt:lpstr>
      <vt:lpstr>'(v)so'!Afdrukbereik</vt:lpstr>
      <vt:lpstr>'aanv-bas'!Afdrukbereik</vt:lpstr>
      <vt:lpstr>'aanv-sbo'!Afdrukbereik</vt:lpstr>
      <vt:lpstr>'aanv-so'!Afdrukbereik</vt:lpstr>
      <vt:lpstr>bas!Afdrukbereik</vt:lpstr>
      <vt:lpstr>'groei-bas'!Afdrukbereik</vt:lpstr>
      <vt:lpstr>info!Afdrukbereik</vt:lpstr>
      <vt:lpstr>sbo!Afdrukbereik</vt:lpstr>
      <vt:lpstr>'swv po'!Afdrukbereik</vt:lpstr>
      <vt:lpstr>'swv vo'!Afdrukbereik</vt:lpstr>
      <vt:lpstr>tab!Afdrukbereik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Reinier Goedhart</dc:creator>
  <cp:keywords/>
  <dc:description/>
  <cp:lastModifiedBy>Harm van Gerven</cp:lastModifiedBy>
  <cp:revision/>
  <dcterms:created xsi:type="dcterms:W3CDTF">2021-08-23T13:39:14Z</dcterms:created>
  <dcterms:modified xsi:type="dcterms:W3CDTF">2023-10-04T06:33:37Z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0x01010049A4239089D7904FAEE920AFD682F253</vt:lpwstr>
  </property>
  <property fmtid="{D5CDD505-2E9C-101B-9397-08002B2CF9AE}" pid="3" name="MediaServiceImageTags">
    <vt:lpwstr/>
  </property>
</Properties>
</file>