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kitty\Downloads\"/>
    </mc:Choice>
  </mc:AlternateContent>
  <xr:revisionPtr revIDLastSave="0" documentId="13_ncr:1_{1AF6654F-1B61-447B-8ED1-0CD2A5114634}" xr6:coauthVersionLast="47" xr6:coauthVersionMax="47" xr10:uidLastSave="{00000000-0000-0000-0000-000000000000}"/>
  <bookViews>
    <workbookView xWindow="-120" yWindow="-120" windowWidth="29040" windowHeight="15720" tabRatio="762" xr2:uid="{00000000-000D-0000-FFFF-FFFF00000000}"/>
  </bookViews>
  <sheets>
    <sheet name="toelichting" sheetId="10" r:id="rId1"/>
    <sheet name=" wg lasten individueel" sheetId="1" r:id="rId2"/>
    <sheet name="wg lasten totaal" sheetId="14" r:id="rId3"/>
    <sheet name="tabellen" sheetId="3" r:id="rId4"/>
    <sheet name="Blad1" sheetId="13" state="hidden" r:id="rId5"/>
  </sheets>
  <definedNames>
    <definedName name="_xlnm._FilterDatabase" localSheetId="1" hidden="1">' wg lasten individueel'!$D$42:$E$44</definedName>
    <definedName name="_xlnm.Print_Area" localSheetId="1">' wg lasten individueel'!$B$2:$T$62</definedName>
    <definedName name="_xlnm.Print_Area" localSheetId="3">tabellen!$A$3:$O$69</definedName>
    <definedName name="_xlnm.Print_Area" localSheetId="0">toelichting!$B$2:$M$60</definedName>
    <definedName name="_xlnm.Print_Area">#REF!</definedName>
    <definedName name="arbeidskorting">tabellen!#REF!</definedName>
    <definedName name="arbeidsmarkttoelage">tabellen!$B$41:$C$49</definedName>
    <definedName name="Bindingstoelage">tabellen!$B$51:$D$60</definedName>
    <definedName name="eindejaarsuitkering_OOP">tabellen!$C$37:$D$38</definedName>
    <definedName name="premie_Vervaningsfonds__Vf">' wg lasten individueel'!$E$42</definedName>
    <definedName name="premies">tabellen!$B$8:$G$20</definedName>
    <definedName name="salaristabel2023">tabellen!$A$74:$W$104</definedName>
    <definedName name="schaalregel">' wg lasten individueel'!$V$65:$W$116</definedName>
    <definedName name="uitlooptoeslag">tabellen!$B$25:$C$28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3" l="1"/>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8" i="14"/>
  <c r="Q9" i="14"/>
  <c r="P9" i="14" s="1"/>
  <c r="Q10" i="14"/>
  <c r="P10" i="14" s="1"/>
  <c r="Q11" i="14"/>
  <c r="P11" i="14" s="1"/>
  <c r="Q12" i="14"/>
  <c r="P12" i="14" s="1"/>
  <c r="Q13" i="14"/>
  <c r="P13" i="14" s="1"/>
  <c r="Q14" i="14"/>
  <c r="P14" i="14" s="1"/>
  <c r="Q15" i="14"/>
  <c r="P15" i="14" s="1"/>
  <c r="Q16" i="14"/>
  <c r="P16" i="14" s="1"/>
  <c r="Q17" i="14"/>
  <c r="P17" i="14" s="1"/>
  <c r="Q18" i="14"/>
  <c r="P18" i="14" s="1"/>
  <c r="Q19" i="14"/>
  <c r="P19" i="14" s="1"/>
  <c r="Q20" i="14"/>
  <c r="P20" i="14" s="1"/>
  <c r="Q21" i="14"/>
  <c r="P21" i="14" s="1"/>
  <c r="Q22" i="14"/>
  <c r="P22" i="14" s="1"/>
  <c r="Q23" i="14"/>
  <c r="P23" i="14" s="1"/>
  <c r="Q24" i="14"/>
  <c r="P24" i="14" s="1"/>
  <c r="Q25" i="14"/>
  <c r="P25" i="14" s="1"/>
  <c r="Q26" i="14"/>
  <c r="P26" i="14" s="1"/>
  <c r="Q27" i="14"/>
  <c r="P27" i="14" s="1"/>
  <c r="Q30" i="14"/>
  <c r="P30" i="14" s="1"/>
  <c r="Q31" i="14"/>
  <c r="P31" i="14" s="1"/>
  <c r="Q32" i="14"/>
  <c r="P32" i="14" s="1"/>
  <c r="Q33" i="14"/>
  <c r="P33" i="14" s="1"/>
  <c r="Q34" i="14"/>
  <c r="P34" i="14" s="1"/>
  <c r="Q35" i="14"/>
  <c r="P35" i="14" s="1"/>
  <c r="Q36" i="14"/>
  <c r="P36" i="14" s="1"/>
  <c r="Q37" i="14"/>
  <c r="P37" i="14" s="1"/>
  <c r="Q38" i="14"/>
  <c r="P38" i="14" s="1"/>
  <c r="Q39" i="14"/>
  <c r="P39" i="14" s="1"/>
  <c r="Q40" i="14"/>
  <c r="P40" i="14" s="1"/>
  <c r="Q41" i="14"/>
  <c r="P41" i="14" s="1"/>
  <c r="Q42" i="14"/>
  <c r="P42" i="14" s="1"/>
  <c r="Q43" i="14"/>
  <c r="P43" i="14" s="1"/>
  <c r="Q44" i="14"/>
  <c r="P44" i="14" s="1"/>
  <c r="Q45" i="14"/>
  <c r="P45" i="14" s="1"/>
  <c r="Q46" i="14"/>
  <c r="P46" i="14" s="1"/>
  <c r="Q47" i="14"/>
  <c r="P47" i="14" s="1"/>
  <c r="Q48" i="14"/>
  <c r="P48" i="14" s="1"/>
  <c r="Q49" i="14"/>
  <c r="P49" i="14" s="1"/>
  <c r="Q50" i="14"/>
  <c r="P50" i="14" s="1"/>
  <c r="Q51" i="14"/>
  <c r="P51" i="14" s="1"/>
  <c r="Q52" i="14"/>
  <c r="P52" i="14" s="1"/>
  <c r="Q53" i="14"/>
  <c r="P53" i="14" s="1"/>
  <c r="Q54" i="14"/>
  <c r="P54" i="14" s="1"/>
  <c r="Q55" i="14"/>
  <c r="P55" i="14" s="1"/>
  <c r="Q56" i="14"/>
  <c r="P56" i="14" s="1"/>
  <c r="Q57" i="14"/>
  <c r="P57" i="14" s="1"/>
  <c r="Q58" i="14"/>
  <c r="P58" i="14" s="1"/>
  <c r="Q59" i="14"/>
  <c r="P59" i="14" s="1"/>
  <c r="Q60" i="14"/>
  <c r="P60" i="14" s="1"/>
  <c r="Q61" i="14"/>
  <c r="P61" i="14" s="1"/>
  <c r="Q62" i="14"/>
  <c r="P62" i="14" s="1"/>
  <c r="Q63" i="14"/>
  <c r="P63" i="14" s="1"/>
  <c r="E16" i="1" l="1"/>
  <c r="F9" i="14"/>
  <c r="F10" i="14"/>
  <c r="F11" i="14"/>
  <c r="F12" i="14"/>
  <c r="F13" i="14"/>
  <c r="F14" i="14"/>
  <c r="F15" i="14"/>
  <c r="F16" i="14"/>
  <c r="F17" i="14"/>
  <c r="F19" i="14"/>
  <c r="F20" i="14"/>
  <c r="F21" i="14"/>
  <c r="F22" i="14"/>
  <c r="F23" i="14"/>
  <c r="F24" i="14"/>
  <c r="F25" i="14"/>
  <c r="F26" i="14"/>
  <c r="F27" i="14"/>
  <c r="F28" i="14"/>
  <c r="Q28" i="14" s="1"/>
  <c r="P28" i="14" s="1"/>
  <c r="F29" i="14"/>
  <c r="Q29" i="14" s="1"/>
  <c r="P29" i="14" s="1"/>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J9" i="14"/>
  <c r="L9" i="14" s="1"/>
  <c r="J10" i="14"/>
  <c r="AB10" i="14" s="1"/>
  <c r="J11" i="14"/>
  <c r="L11" i="14" s="1"/>
  <c r="J12" i="14"/>
  <c r="Z12" i="14" s="1"/>
  <c r="J13" i="14"/>
  <c r="Z13" i="14" s="1"/>
  <c r="J14" i="14"/>
  <c r="Y14" i="14" s="1"/>
  <c r="J15" i="14"/>
  <c r="Y15" i="14" s="1"/>
  <c r="J16" i="14"/>
  <c r="L16" i="14" s="1"/>
  <c r="J17" i="14"/>
  <c r="L17" i="14" s="1"/>
  <c r="J18" i="14"/>
  <c r="J19" i="14"/>
  <c r="AB19" i="14" s="1"/>
  <c r="J20" i="14"/>
  <c r="AB20" i="14" s="1"/>
  <c r="J21" i="14"/>
  <c r="Z21" i="14" s="1"/>
  <c r="J22" i="14"/>
  <c r="Z22" i="14" s="1"/>
  <c r="J23" i="14"/>
  <c r="Y23" i="14" s="1"/>
  <c r="J24" i="14"/>
  <c r="Y24" i="14" s="1"/>
  <c r="J25" i="14"/>
  <c r="L25" i="14" s="1"/>
  <c r="J26" i="14"/>
  <c r="Y26" i="14" s="1"/>
  <c r="J27" i="14"/>
  <c r="AB27" i="14" s="1"/>
  <c r="J28" i="14"/>
  <c r="J29" i="14"/>
  <c r="Z29" i="14" s="1"/>
  <c r="J30" i="14"/>
  <c r="Z30" i="14" s="1"/>
  <c r="J31" i="14"/>
  <c r="Y31" i="14" s="1"/>
  <c r="J32" i="14"/>
  <c r="Y32" i="14" s="1"/>
  <c r="J33" i="14"/>
  <c r="L33" i="14" s="1"/>
  <c r="J34" i="14"/>
  <c r="Y34" i="14" s="1"/>
  <c r="J35" i="14"/>
  <c r="AB35" i="14" s="1"/>
  <c r="J36" i="14"/>
  <c r="AB36" i="14" s="1"/>
  <c r="J37" i="14"/>
  <c r="Z37" i="14" s="1"/>
  <c r="J38" i="14"/>
  <c r="Z38" i="14" s="1"/>
  <c r="J39" i="14"/>
  <c r="Y39" i="14" s="1"/>
  <c r="J40" i="14"/>
  <c r="Z40" i="14" s="1"/>
  <c r="J41" i="14"/>
  <c r="L41" i="14" s="1"/>
  <c r="J42" i="14"/>
  <c r="L42" i="14" s="1"/>
  <c r="J43" i="14"/>
  <c r="AB43" i="14" s="1"/>
  <c r="J44" i="14"/>
  <c r="AB44" i="14" s="1"/>
  <c r="J45" i="14"/>
  <c r="Z45" i="14" s="1"/>
  <c r="J46" i="14"/>
  <c r="Z46" i="14" s="1"/>
  <c r="J47" i="14"/>
  <c r="Y47" i="14" s="1"/>
  <c r="J48" i="14"/>
  <c r="Y48" i="14" s="1"/>
  <c r="J49" i="14"/>
  <c r="L49" i="14" s="1"/>
  <c r="J50" i="14"/>
  <c r="Y50" i="14" s="1"/>
  <c r="J51" i="14"/>
  <c r="AB51" i="14" s="1"/>
  <c r="J52" i="14"/>
  <c r="AB52" i="14" s="1"/>
  <c r="J53" i="14"/>
  <c r="Z53" i="14" s="1"/>
  <c r="J54" i="14"/>
  <c r="Z54" i="14" s="1"/>
  <c r="J55" i="14"/>
  <c r="Y55" i="14" s="1"/>
  <c r="J56" i="14"/>
  <c r="Y56" i="14" s="1"/>
  <c r="J57" i="14"/>
  <c r="L57" i="14" s="1"/>
  <c r="J58" i="14"/>
  <c r="L58" i="14" s="1"/>
  <c r="J59" i="14"/>
  <c r="AB59" i="14" s="1"/>
  <c r="J60" i="14"/>
  <c r="AB60" i="14" s="1"/>
  <c r="J61" i="14"/>
  <c r="Z61" i="14" s="1"/>
  <c r="J62" i="14"/>
  <c r="Z62" i="14" s="1"/>
  <c r="J63" i="14"/>
  <c r="Y63" i="14" s="1"/>
  <c r="J8" i="14"/>
  <c r="C4" i="1"/>
  <c r="I53" i="1"/>
  <c r="AB13" i="14" l="1"/>
  <c r="K13" i="14"/>
  <c r="L53" i="14"/>
  <c r="Y46" i="14"/>
  <c r="Y21" i="14"/>
  <c r="AB30" i="14"/>
  <c r="AB28" i="14"/>
  <c r="L52" i="14"/>
  <c r="Z44" i="14"/>
  <c r="L37" i="14"/>
  <c r="AB63" i="14"/>
  <c r="K63" i="14"/>
  <c r="L36" i="14"/>
  <c r="AB62" i="14"/>
  <c r="K47" i="14"/>
  <c r="L21" i="14"/>
  <c r="AB47" i="14"/>
  <c r="K31" i="14"/>
  <c r="L20" i="14"/>
  <c r="AB46" i="14"/>
  <c r="K14" i="14"/>
  <c r="Y53" i="14"/>
  <c r="AB31" i="14"/>
  <c r="K62" i="14"/>
  <c r="K46" i="14"/>
  <c r="K30" i="14"/>
  <c r="K9" i="14"/>
  <c r="L48" i="14"/>
  <c r="L32" i="14"/>
  <c r="L15" i="14"/>
  <c r="Y45" i="14"/>
  <c r="Y13" i="14"/>
  <c r="Z41" i="14"/>
  <c r="AB58" i="14"/>
  <c r="AB42" i="14"/>
  <c r="AB26" i="14"/>
  <c r="K58" i="14"/>
  <c r="K42" i="14"/>
  <c r="K26" i="14"/>
  <c r="L63" i="14"/>
  <c r="L47" i="14"/>
  <c r="L31" i="14"/>
  <c r="L14" i="14"/>
  <c r="Y38" i="14"/>
  <c r="Y12" i="14"/>
  <c r="Z36" i="14"/>
  <c r="AB57" i="14"/>
  <c r="AB41" i="14"/>
  <c r="AB25" i="14"/>
  <c r="K49" i="14"/>
  <c r="K57" i="14"/>
  <c r="K41" i="14"/>
  <c r="K25" i="14"/>
  <c r="L61" i="14"/>
  <c r="L45" i="14"/>
  <c r="L29" i="14"/>
  <c r="L12" i="14"/>
  <c r="Y37" i="14"/>
  <c r="Y9" i="14"/>
  <c r="Z33" i="14"/>
  <c r="AB55" i="14"/>
  <c r="AB39" i="14"/>
  <c r="AB23" i="14"/>
  <c r="K33" i="14"/>
  <c r="K55" i="14"/>
  <c r="K39" i="14"/>
  <c r="K23" i="14"/>
  <c r="L60" i="14"/>
  <c r="L44" i="14"/>
  <c r="L28" i="14"/>
  <c r="Y62" i="14"/>
  <c r="Y30" i="14"/>
  <c r="Z60" i="14"/>
  <c r="AB54" i="14"/>
  <c r="AB38" i="14"/>
  <c r="AB22" i="14"/>
  <c r="Z49" i="14"/>
  <c r="K54" i="14"/>
  <c r="K38" i="14"/>
  <c r="K22" i="14"/>
  <c r="L56" i="14"/>
  <c r="L40" i="14"/>
  <c r="L24" i="14"/>
  <c r="Y61" i="14"/>
  <c r="Y29" i="14"/>
  <c r="Z57" i="14"/>
  <c r="Z25" i="14"/>
  <c r="AB50" i="14"/>
  <c r="AB34" i="14"/>
  <c r="AB17" i="14"/>
  <c r="Y17" i="14"/>
  <c r="AB9" i="14"/>
  <c r="K50" i="14"/>
  <c r="K34" i="14"/>
  <c r="K17" i="14"/>
  <c r="L55" i="14"/>
  <c r="L39" i="14"/>
  <c r="L23" i="14"/>
  <c r="Y54" i="14"/>
  <c r="Y22" i="14"/>
  <c r="Z52" i="14"/>
  <c r="Z20" i="14"/>
  <c r="AB49" i="14"/>
  <c r="AB33" i="14"/>
  <c r="AB14" i="14"/>
  <c r="Z11" i="14"/>
  <c r="K16" i="14"/>
  <c r="Z59" i="14"/>
  <c r="Z51" i="14"/>
  <c r="Z43" i="14"/>
  <c r="Z35" i="14"/>
  <c r="Z27" i="14"/>
  <c r="Z19" i="14"/>
  <c r="Z10" i="14"/>
  <c r="AB16" i="14"/>
  <c r="K56" i="14"/>
  <c r="K48" i="14"/>
  <c r="K40" i="14"/>
  <c r="K32" i="14"/>
  <c r="K24" i="14"/>
  <c r="K15" i="14"/>
  <c r="L62" i="14"/>
  <c r="L54" i="14"/>
  <c r="L46" i="14"/>
  <c r="L38" i="14"/>
  <c r="L30" i="14"/>
  <c r="L22" i="14"/>
  <c r="L13" i="14"/>
  <c r="Y60" i="14"/>
  <c r="Y52" i="14"/>
  <c r="Y44" i="14"/>
  <c r="Y36" i="14"/>
  <c r="Y28" i="14"/>
  <c r="Y20" i="14"/>
  <c r="Y11" i="14"/>
  <c r="Z58" i="14"/>
  <c r="Z50" i="14"/>
  <c r="Z42" i="14"/>
  <c r="Z34" i="14"/>
  <c r="Z26" i="14"/>
  <c r="Z17" i="14"/>
  <c r="Z9" i="14"/>
  <c r="AB56" i="14"/>
  <c r="AB48" i="14"/>
  <c r="AB40" i="14"/>
  <c r="AB32" i="14"/>
  <c r="AB24" i="14"/>
  <c r="AB15" i="14"/>
  <c r="Y59" i="14"/>
  <c r="Y19" i="14"/>
  <c r="Z56" i="14"/>
  <c r="Z32" i="14"/>
  <c r="Z15" i="14"/>
  <c r="K61" i="14"/>
  <c r="K53" i="14"/>
  <c r="K45" i="14"/>
  <c r="K37" i="14"/>
  <c r="K29" i="14"/>
  <c r="K21" i="14"/>
  <c r="K12" i="14"/>
  <c r="L59" i="14"/>
  <c r="L51" i="14"/>
  <c r="L43" i="14"/>
  <c r="L35" i="14"/>
  <c r="L27" i="14"/>
  <c r="L19" i="14"/>
  <c r="L10" i="14"/>
  <c r="Y57" i="14"/>
  <c r="Y49" i="14"/>
  <c r="Y41" i="14"/>
  <c r="Y33" i="14"/>
  <c r="Y25" i="14"/>
  <c r="Y16" i="14"/>
  <c r="Z63" i="14"/>
  <c r="Z55" i="14"/>
  <c r="Z47" i="14"/>
  <c r="Z39" i="14"/>
  <c r="Z31" i="14"/>
  <c r="Z23" i="14"/>
  <c r="Z14" i="14"/>
  <c r="AB61" i="14"/>
  <c r="AB53" i="14"/>
  <c r="AB45" i="14"/>
  <c r="AB37" i="14"/>
  <c r="AB29" i="14"/>
  <c r="AB21" i="14"/>
  <c r="AB12" i="14"/>
  <c r="Y51" i="14"/>
  <c r="Y43" i="14"/>
  <c r="Y35" i="14"/>
  <c r="Y27" i="14"/>
  <c r="Y10" i="14"/>
  <c r="Z16" i="14"/>
  <c r="Y58" i="14"/>
  <c r="Y42" i="14"/>
  <c r="Z48" i="14"/>
  <c r="Z24" i="14"/>
  <c r="K60" i="14"/>
  <c r="K52" i="14"/>
  <c r="K44" i="14"/>
  <c r="K36" i="14"/>
  <c r="K28" i="14"/>
  <c r="Z28" i="14" s="1"/>
  <c r="K20" i="14"/>
  <c r="K11" i="14"/>
  <c r="L50" i="14"/>
  <c r="L34" i="14"/>
  <c r="L26" i="14"/>
  <c r="Y40" i="14"/>
  <c r="AB11" i="14"/>
  <c r="K59" i="14"/>
  <c r="K51" i="14"/>
  <c r="K43" i="14"/>
  <c r="K35" i="14"/>
  <c r="K27" i="14"/>
  <c r="K19" i="14"/>
  <c r="K10" i="14"/>
  <c r="K18" i="14"/>
  <c r="Z18" i="14" s="1"/>
  <c r="L18" i="14"/>
  <c r="E18" i="1"/>
  <c r="E19" i="1" s="1"/>
  <c r="G28" i="1" s="1"/>
  <c r="E41" i="10"/>
  <c r="E46" i="10"/>
  <c r="E42" i="10"/>
  <c r="E43" i="10"/>
  <c r="E44" i="10"/>
  <c r="E45" i="10"/>
  <c r="E40" i="10"/>
  <c r="AI4" i="14"/>
  <c r="M9" i="14"/>
  <c r="M10" i="14"/>
  <c r="M11" i="14"/>
  <c r="M12" i="14"/>
  <c r="M13" i="14"/>
  <c r="M14" i="14"/>
  <c r="M15" i="14"/>
  <c r="M16" i="14"/>
  <c r="M17" i="14"/>
  <c r="M18" i="14"/>
  <c r="M19" i="14"/>
  <c r="M20" i="14"/>
  <c r="M21" i="14"/>
  <c r="M22" i="14"/>
  <c r="M23" i="14"/>
  <c r="M24" i="14"/>
  <c r="M25" i="14"/>
  <c r="M26" i="14"/>
  <c r="M27" i="14"/>
  <c r="M28" i="14"/>
  <c r="M29" i="14"/>
  <c r="M30" i="14"/>
  <c r="M31" i="14"/>
  <c r="M32" i="14"/>
  <c r="M33" i="14"/>
  <c r="M34" i="14"/>
  <c r="M35" i="14"/>
  <c r="M36" i="14"/>
  <c r="M37" i="14"/>
  <c r="M38" i="14"/>
  <c r="M39" i="14"/>
  <c r="M40" i="14"/>
  <c r="M41" i="14"/>
  <c r="M42" i="14"/>
  <c r="M43" i="14"/>
  <c r="M44" i="14"/>
  <c r="M45" i="14"/>
  <c r="M46" i="14"/>
  <c r="M47" i="14"/>
  <c r="M48" i="14"/>
  <c r="M49" i="14"/>
  <c r="M50" i="14"/>
  <c r="M51" i="14"/>
  <c r="M52" i="14"/>
  <c r="M53" i="14"/>
  <c r="M54" i="14"/>
  <c r="M55" i="14"/>
  <c r="M56" i="14"/>
  <c r="M57" i="14"/>
  <c r="M58" i="14"/>
  <c r="M59" i="14"/>
  <c r="M60" i="14"/>
  <c r="M61" i="14"/>
  <c r="M62" i="14"/>
  <c r="M63" i="14"/>
  <c r="AB18" i="14" l="1"/>
  <c r="Y18" i="14"/>
  <c r="E28" i="1"/>
  <c r="F8" i="14"/>
  <c r="Q8" i="14" s="1"/>
  <c r="P8" i="14" s="1"/>
  <c r="O10" i="14"/>
  <c r="O11" i="14"/>
  <c r="O14" i="14"/>
  <c r="O15" i="14"/>
  <c r="O18" i="14"/>
  <c r="O19" i="14"/>
  <c r="O22" i="14"/>
  <c r="O23" i="14"/>
  <c r="O26" i="14"/>
  <c r="O27" i="14"/>
  <c r="O31" i="14"/>
  <c r="O35" i="14"/>
  <c r="O38" i="14"/>
  <c r="O39" i="14"/>
  <c r="O41" i="14"/>
  <c r="O42" i="14"/>
  <c r="O43" i="14"/>
  <c r="O46" i="14"/>
  <c r="O47" i="14"/>
  <c r="O49" i="14"/>
  <c r="O51" i="14"/>
  <c r="O52" i="14"/>
  <c r="O53" i="14"/>
  <c r="O57" i="14"/>
  <c r="O58" i="14"/>
  <c r="O61" i="14"/>
  <c r="Y4" i="14"/>
  <c r="I3" i="14"/>
  <c r="Z4" i="14"/>
  <c r="X4" i="14"/>
  <c r="W4" i="14"/>
  <c r="V4" i="14"/>
  <c r="U4" i="14"/>
  <c r="T4" i="14"/>
  <c r="S4" i="14"/>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74" i="3"/>
  <c r="M8" i="14"/>
  <c r="O8" i="14"/>
  <c r="L4" i="14"/>
  <c r="L8" i="14" s="1"/>
  <c r="K4" i="14"/>
  <c r="K8" i="14" s="1"/>
  <c r="B3" i="14"/>
  <c r="B2" i="14"/>
  <c r="Z8" i="14" l="1"/>
  <c r="Y8" i="14"/>
  <c r="AB8" i="14"/>
  <c r="N40" i="14"/>
  <c r="O40" i="14"/>
  <c r="N32" i="14"/>
  <c r="O32" i="14"/>
  <c r="N24" i="14"/>
  <c r="O24" i="14"/>
  <c r="N16" i="14"/>
  <c r="O16" i="14"/>
  <c r="N56" i="14"/>
  <c r="O56" i="14"/>
  <c r="N48" i="14"/>
  <c r="O48" i="14"/>
  <c r="AE58" i="14"/>
  <c r="AE50" i="14"/>
  <c r="N45" i="14"/>
  <c r="O45" i="14"/>
  <c r="N37" i="14"/>
  <c r="O37" i="14"/>
  <c r="N29" i="14"/>
  <c r="O29" i="14"/>
  <c r="N21" i="14"/>
  <c r="O21" i="14"/>
  <c r="N13" i="14"/>
  <c r="O13" i="14"/>
  <c r="N50" i="14"/>
  <c r="O50" i="14"/>
  <c r="AE23" i="14"/>
  <c r="N55" i="14"/>
  <c r="O55" i="14"/>
  <c r="AE52" i="14"/>
  <c r="AE20" i="14"/>
  <c r="N34" i="14"/>
  <c r="O34" i="14"/>
  <c r="N60" i="14"/>
  <c r="O60" i="14"/>
  <c r="AE57" i="14"/>
  <c r="AE49" i="14"/>
  <c r="N44" i="14"/>
  <c r="O44" i="14"/>
  <c r="AE41" i="14"/>
  <c r="N36" i="14"/>
  <c r="O36" i="14"/>
  <c r="AE33" i="14"/>
  <c r="N28" i="14"/>
  <c r="O28" i="14"/>
  <c r="N20" i="14"/>
  <c r="O20" i="14"/>
  <c r="N12" i="14"/>
  <c r="O12" i="14"/>
  <c r="AE55" i="14"/>
  <c r="AE46" i="14"/>
  <c r="N33" i="14"/>
  <c r="O33" i="14"/>
  <c r="AE30" i="14"/>
  <c r="N25" i="14"/>
  <c r="O25" i="14"/>
  <c r="AE22" i="14"/>
  <c r="N17" i="14"/>
  <c r="O17" i="14"/>
  <c r="N9" i="14"/>
  <c r="O9" i="14"/>
  <c r="N62" i="14"/>
  <c r="O62" i="14"/>
  <c r="N54" i="14"/>
  <c r="O54" i="14"/>
  <c r="AE43" i="14"/>
  <c r="AE35" i="14"/>
  <c r="N30" i="14"/>
  <c r="O30" i="14"/>
  <c r="N63" i="14"/>
  <c r="O63" i="14"/>
  <c r="N59" i="14"/>
  <c r="O59" i="14"/>
  <c r="AE48" i="14"/>
  <c r="N53" i="14"/>
  <c r="N58" i="14"/>
  <c r="N23" i="14"/>
  <c r="N15" i="14"/>
  <c r="N46" i="14"/>
  <c r="N51" i="14"/>
  <c r="N49" i="14"/>
  <c r="N35" i="14"/>
  <c r="N27" i="14"/>
  <c r="J65" i="14"/>
  <c r="AE18" i="14"/>
  <c r="N42" i="14"/>
  <c r="N43" i="14"/>
  <c r="N31" i="14"/>
  <c r="N11" i="14"/>
  <c r="N19" i="14"/>
  <c r="N57" i="14"/>
  <c r="N38" i="14"/>
  <c r="N61" i="14"/>
  <c r="N41" i="14"/>
  <c r="N52" i="14"/>
  <c r="N47" i="14"/>
  <c r="AE36" i="14"/>
  <c r="N39" i="14"/>
  <c r="N26" i="14"/>
  <c r="N14" i="14"/>
  <c r="N22" i="14"/>
  <c r="N18" i="14"/>
  <c r="N10" i="14"/>
  <c r="N8" i="14"/>
  <c r="I28" i="1"/>
  <c r="E26" i="1"/>
  <c r="G18" i="1"/>
  <c r="G20" i="1" s="1"/>
  <c r="G26" i="1" l="1"/>
  <c r="I26" i="1" s="1"/>
  <c r="R19" i="14"/>
  <c r="AE56" i="14"/>
  <c r="I20" i="1"/>
  <c r="R57" i="14"/>
  <c r="R28" i="14"/>
  <c r="R16" i="14"/>
  <c r="AE16" i="14"/>
  <c r="R27" i="14"/>
  <c r="R62" i="14"/>
  <c r="R44" i="14"/>
  <c r="R21" i="14"/>
  <c r="R63" i="14"/>
  <c r="R54" i="14"/>
  <c r="R36" i="14"/>
  <c r="R38" i="14"/>
  <c r="R60" i="14"/>
  <c r="R52" i="14"/>
  <c r="R26" i="14"/>
  <c r="R42" i="14"/>
  <c r="U42" i="14" s="1"/>
  <c r="R13" i="14"/>
  <c r="R29" i="14"/>
  <c r="R40" i="14"/>
  <c r="R48" i="14"/>
  <c r="R25" i="14"/>
  <c r="R41" i="14"/>
  <c r="R32" i="14"/>
  <c r="R53" i="14"/>
  <c r="U53" i="14" s="1"/>
  <c r="R20" i="14"/>
  <c r="U20" i="14" s="1"/>
  <c r="R35" i="14"/>
  <c r="R14" i="14"/>
  <c r="R30" i="14"/>
  <c r="R11" i="14"/>
  <c r="R59" i="14"/>
  <c r="R43" i="14"/>
  <c r="R39" i="14"/>
  <c r="R23" i="14"/>
  <c r="R18" i="14"/>
  <c r="R34" i="14"/>
  <c r="R50" i="14"/>
  <c r="R37" i="14"/>
  <c r="R46" i="14"/>
  <c r="R61" i="14"/>
  <c r="R24" i="14"/>
  <c r="R51" i="14"/>
  <c r="R17" i="14"/>
  <c r="R33" i="14"/>
  <c r="R49" i="14"/>
  <c r="R9" i="14"/>
  <c r="AE62" i="14"/>
  <c r="R45" i="14"/>
  <c r="R58" i="14"/>
  <c r="R12" i="14"/>
  <c r="R56" i="14"/>
  <c r="R55" i="14"/>
  <c r="R31" i="14"/>
  <c r="R10" i="14"/>
  <c r="R22" i="14"/>
  <c r="R47" i="14"/>
  <c r="AE29" i="14"/>
  <c r="R8" i="14"/>
  <c r="R15" i="14"/>
  <c r="AE8" i="14"/>
  <c r="AE53" i="14"/>
  <c r="AE32" i="14"/>
  <c r="AE10" i="14"/>
  <c r="AE15" i="14"/>
  <c r="AE31" i="14"/>
  <c r="AE19" i="14"/>
  <c r="AE13" i="14"/>
  <c r="AE28" i="14"/>
  <c r="AE14" i="14"/>
  <c r="AE47" i="14"/>
  <c r="AE45" i="14"/>
  <c r="AE24" i="14"/>
  <c r="AE25" i="14"/>
  <c r="AE44" i="14"/>
  <c r="AE63" i="14"/>
  <c r="AE17" i="14"/>
  <c r="AE12" i="14"/>
  <c r="AE11" i="14"/>
  <c r="AE34" i="14"/>
  <c r="AE61" i="14"/>
  <c r="AE38" i="14"/>
  <c r="AE59" i="14"/>
  <c r="AE39" i="14"/>
  <c r="AE40" i="14"/>
  <c r="AE37" i="14"/>
  <c r="AE54" i="14"/>
  <c r="AE42" i="14"/>
  <c r="AE51" i="14"/>
  <c r="AE21" i="14"/>
  <c r="AE27" i="14"/>
  <c r="AE26" i="14"/>
  <c r="AE9" i="14"/>
  <c r="AE60" i="14"/>
  <c r="E27" i="1"/>
  <c r="G27" i="1" s="1"/>
  <c r="I27" i="1" s="1"/>
  <c r="U15" i="14" l="1"/>
  <c r="U61" i="14"/>
  <c r="U12" i="14"/>
  <c r="U27" i="14"/>
  <c r="U24" i="14"/>
  <c r="U49" i="14"/>
  <c r="U54" i="14"/>
  <c r="U32" i="14"/>
  <c r="U46" i="14"/>
  <c r="U62" i="14"/>
  <c r="U60" i="14"/>
  <c r="U57" i="14"/>
  <c r="U40" i="14"/>
  <c r="U56" i="14"/>
  <c r="U31" i="14"/>
  <c r="U44" i="14"/>
  <c r="U58" i="14"/>
  <c r="U23" i="14"/>
  <c r="U16" i="14"/>
  <c r="U33" i="14"/>
  <c r="U29" i="14"/>
  <c r="U21" i="14"/>
  <c r="U63" i="14"/>
  <c r="U50" i="14"/>
  <c r="U28" i="14"/>
  <c r="U34" i="14"/>
  <c r="U11" i="14"/>
  <c r="U59" i="14"/>
  <c r="U22" i="14"/>
  <c r="U14" i="14"/>
  <c r="U30" i="14"/>
  <c r="U26" i="14"/>
  <c r="U13" i="14"/>
  <c r="U18" i="14"/>
  <c r="U37" i="14"/>
  <c r="U39" i="14"/>
  <c r="U51" i="14"/>
  <c r="U52" i="14"/>
  <c r="U48" i="14"/>
  <c r="U38" i="14"/>
  <c r="U47" i="14"/>
  <c r="U43" i="14"/>
  <c r="U55" i="14"/>
  <c r="U36" i="14"/>
  <c r="U41" i="14"/>
  <c r="U45" i="14"/>
  <c r="U35" i="14"/>
  <c r="U19" i="14"/>
  <c r="U17" i="14"/>
  <c r="U25" i="14"/>
  <c r="U10" i="14"/>
  <c r="U9" i="14"/>
  <c r="U8" i="14"/>
  <c r="F50" i="10"/>
  <c r="F3" i="3" l="1"/>
  <c r="G48" i="1" l="1"/>
  <c r="C3" i="1" l="1"/>
  <c r="I16" i="1"/>
  <c r="G25" i="1"/>
  <c r="G43" i="1"/>
  <c r="G49" i="1"/>
  <c r="G50" i="1"/>
  <c r="G51" i="1"/>
  <c r="G52" i="1"/>
  <c r="G53" i="1" l="1"/>
  <c r="I25" i="1"/>
  <c r="G23" i="1"/>
  <c r="G42" i="1" s="1"/>
  <c r="G24" i="1"/>
  <c r="I24" i="1" s="1"/>
  <c r="G44" i="1" l="1"/>
  <c r="I23" i="1"/>
  <c r="I29" i="1" s="1"/>
  <c r="I31" i="1" s="1"/>
  <c r="G68" i="1" s="1"/>
  <c r="I68" i="1" s="1"/>
  <c r="G29" i="1"/>
  <c r="G31" i="1" s="1"/>
  <c r="R17" i="1" s="1"/>
  <c r="G69" i="1" l="1"/>
  <c r="G36" i="1"/>
  <c r="G38" i="1"/>
  <c r="G37" i="1"/>
  <c r="H11" i="3"/>
  <c r="B6" i="3"/>
  <c r="G39" i="1" l="1"/>
  <c r="I69" i="1"/>
  <c r="I36" i="1"/>
  <c r="I37" i="1"/>
  <c r="I38" i="1"/>
  <c r="G12" i="1" l="1"/>
  <c r="I12" i="1"/>
  <c r="I39" i="1" l="1"/>
  <c r="I44" i="1"/>
  <c r="G12" i="3" l="1"/>
  <c r="H12" i="3"/>
  <c r="H13" i="3" s="1"/>
  <c r="G40" i="1" s="1"/>
  <c r="G13" i="3"/>
  <c r="G14" i="3"/>
  <c r="D23" i="3"/>
  <c r="C23" i="3"/>
  <c r="G41" i="1" l="1"/>
  <c r="I41" i="1" s="1"/>
  <c r="I40" i="1"/>
  <c r="H14" i="3"/>
  <c r="E23" i="3"/>
  <c r="G45" i="1" l="1"/>
  <c r="G55" i="1" s="1"/>
  <c r="F9" i="3"/>
  <c r="F8" i="3"/>
  <c r="G59" i="1" l="1"/>
  <c r="S8" i="14"/>
  <c r="AI40" i="14"/>
  <c r="AJ40" i="14" s="1"/>
  <c r="AI14" i="14"/>
  <c r="AJ14" i="14" s="1"/>
  <c r="S60" i="14"/>
  <c r="S27" i="14"/>
  <c r="S14" i="14"/>
  <c r="S42" i="14"/>
  <c r="AI20" i="14"/>
  <c r="AJ20" i="14" s="1"/>
  <c r="AI19" i="14"/>
  <c r="AJ19" i="14" s="1"/>
  <c r="AI57" i="14"/>
  <c r="AJ57" i="14" s="1"/>
  <c r="AI54" i="14"/>
  <c r="AJ54" i="14" s="1"/>
  <c r="AI26" i="14"/>
  <c r="AJ26" i="14" s="1"/>
  <c r="AI48" i="14"/>
  <c r="AJ48" i="14" s="1"/>
  <c r="AI30" i="14"/>
  <c r="AJ30" i="14" s="1"/>
  <c r="AI50" i="14"/>
  <c r="AJ50" i="14" s="1"/>
  <c r="AI24" i="14"/>
  <c r="AJ24" i="14" s="1"/>
  <c r="S33" i="14"/>
  <c r="AI63" i="14"/>
  <c r="AJ63" i="14" s="1"/>
  <c r="AI28" i="14"/>
  <c r="AJ28" i="14" s="1"/>
  <c r="AI46" i="14"/>
  <c r="AJ46" i="14" s="1"/>
  <c r="S11" i="14"/>
  <c r="S20" i="14"/>
  <c r="S53" i="14"/>
  <c r="AI38" i="14"/>
  <c r="AJ38" i="14" s="1"/>
  <c r="AI60" i="14"/>
  <c r="AJ60" i="14" s="1"/>
  <c r="S58" i="14"/>
  <c r="AI34" i="14"/>
  <c r="AJ34" i="14" s="1"/>
  <c r="AI62" i="14"/>
  <c r="AJ62" i="14" s="1"/>
  <c r="AI16" i="14"/>
  <c r="AJ16" i="14" s="1"/>
  <c r="AI21" i="14"/>
  <c r="AJ21" i="14" s="1"/>
  <c r="AI36" i="14"/>
  <c r="AJ36" i="14" s="1"/>
  <c r="AI44" i="14"/>
  <c r="AJ44" i="14" s="1"/>
  <c r="AI52" i="14"/>
  <c r="AJ52" i="14" s="1"/>
  <c r="AI27" i="14"/>
  <c r="AJ27" i="14" s="1"/>
  <c r="AI18" i="14"/>
  <c r="AJ18" i="14" s="1"/>
  <c r="AI32" i="14"/>
  <c r="AJ32" i="14" s="1"/>
  <c r="S26" i="14"/>
  <c r="AI42" i="14"/>
  <c r="AJ42" i="14" s="1"/>
  <c r="AI33" i="14"/>
  <c r="AJ33" i="14" s="1"/>
  <c r="AI25" i="14"/>
  <c r="AJ25" i="14" s="1"/>
  <c r="AI29" i="14"/>
  <c r="AJ29" i="14" s="1"/>
  <c r="AI37" i="14"/>
  <c r="AJ37" i="14" s="1"/>
  <c r="AI43" i="14"/>
  <c r="AJ43" i="14" s="1"/>
  <c r="AI8" i="14"/>
  <c r="AJ8" i="14" s="1"/>
  <c r="S16" i="14"/>
  <c r="S62" i="14"/>
  <c r="S40" i="14"/>
  <c r="S28" i="14"/>
  <c r="S34" i="14"/>
  <c r="S38" i="14"/>
  <c r="S10" i="14"/>
  <c r="S51" i="14"/>
  <c r="S13" i="14"/>
  <c r="AI11" i="14"/>
  <c r="AJ11" i="14" s="1"/>
  <c r="AI35" i="14"/>
  <c r="AJ35" i="14" s="1"/>
  <c r="AI58" i="14"/>
  <c r="AJ58" i="14" s="1"/>
  <c r="AI10" i="14"/>
  <c r="AJ10" i="14" s="1"/>
  <c r="AI15" i="14"/>
  <c r="AJ15" i="14" s="1"/>
  <c r="S18" i="14"/>
  <c r="S37" i="14"/>
  <c r="S23" i="14"/>
  <c r="S52" i="14"/>
  <c r="S45" i="14"/>
  <c r="S17" i="14"/>
  <c r="S9" i="14"/>
  <c r="AI53" i="14"/>
  <c r="AJ53" i="14" s="1"/>
  <c r="AI61" i="14"/>
  <c r="AJ61" i="14" s="1"/>
  <c r="AI55" i="14"/>
  <c r="AJ55" i="14" s="1"/>
  <c r="AI23" i="14"/>
  <c r="AJ23" i="14" s="1"/>
  <c r="S15" i="14"/>
  <c r="S59" i="14"/>
  <c r="S56" i="14"/>
  <c r="S19" i="14"/>
  <c r="S36" i="14"/>
  <c r="S35" i="14"/>
  <c r="AI51" i="14"/>
  <c r="AJ51" i="14" s="1"/>
  <c r="S25" i="14"/>
  <c r="AI45" i="14"/>
  <c r="AJ45" i="14" s="1"/>
  <c r="AI17" i="14"/>
  <c r="AJ17" i="14" s="1"/>
  <c r="AI13" i="14"/>
  <c r="AJ13" i="14" s="1"/>
  <c r="AI12" i="14"/>
  <c r="AJ12" i="14" s="1"/>
  <c r="S12" i="14"/>
  <c r="S44" i="14"/>
  <c r="S49" i="14"/>
  <c r="S50" i="14"/>
  <c r="S29" i="14"/>
  <c r="S39" i="14"/>
  <c r="S48" i="14"/>
  <c r="S41" i="14"/>
  <c r="AI47" i="14"/>
  <c r="AJ47" i="14" s="1"/>
  <c r="AI22" i="14"/>
  <c r="AJ22" i="14" s="1"/>
  <c r="S54" i="14"/>
  <c r="S30" i="14"/>
  <c r="AI49" i="14"/>
  <c r="AJ49" i="14" s="1"/>
  <c r="AI41" i="14"/>
  <c r="AJ41" i="14" s="1"/>
  <c r="AI31" i="14"/>
  <c r="AJ31" i="14" s="1"/>
  <c r="S24" i="14"/>
  <c r="S46" i="14"/>
  <c r="S21" i="14"/>
  <c r="S22" i="14"/>
  <c r="S47" i="14"/>
  <c r="S63" i="14"/>
  <c r="S32" i="14"/>
  <c r="S55" i="14"/>
  <c r="AI59" i="14"/>
  <c r="AJ59" i="14" s="1"/>
  <c r="AI9" i="14"/>
  <c r="AJ9" i="14" s="1"/>
  <c r="AI39" i="14"/>
  <c r="AJ39" i="14" s="1"/>
  <c r="AI56" i="14"/>
  <c r="AJ56" i="14" s="1"/>
  <c r="S31" i="14"/>
  <c r="S57" i="14"/>
  <c r="S61" i="14"/>
  <c r="S43" i="14"/>
  <c r="T8" i="14"/>
  <c r="T59" i="14"/>
  <c r="T18" i="14"/>
  <c r="T50" i="14"/>
  <c r="T53" i="14"/>
  <c r="T62" i="14"/>
  <c r="T28" i="14"/>
  <c r="T20" i="14"/>
  <c r="T16" i="14"/>
  <c r="T21" i="14"/>
  <c r="T32" i="14"/>
  <c r="T42" i="14"/>
  <c r="T49" i="14"/>
  <c r="T19" i="14"/>
  <c r="T9" i="14"/>
  <c r="T35" i="14"/>
  <c r="T51" i="14"/>
  <c r="T44" i="14"/>
  <c r="T33" i="14"/>
  <c r="T46" i="14"/>
  <c r="T23" i="14"/>
  <c r="T26" i="14"/>
  <c r="T34" i="14"/>
  <c r="T10" i="14"/>
  <c r="T41" i="14"/>
  <c r="T36" i="14"/>
  <c r="T31" i="14"/>
  <c r="T58" i="14"/>
  <c r="T38" i="14"/>
  <c r="T15" i="14"/>
  <c r="T57" i="14"/>
  <c r="T11" i="14"/>
  <c r="T39" i="14"/>
  <c r="T52" i="14"/>
  <c r="T47" i="14"/>
  <c r="T55" i="14"/>
  <c r="T45" i="14"/>
  <c r="T14" i="14"/>
  <c r="T43" i="14"/>
  <c r="T48" i="14"/>
  <c r="T13" i="14"/>
  <c r="T24" i="14"/>
  <c r="T56" i="14"/>
  <c r="T40" i="14"/>
  <c r="T61" i="14"/>
  <c r="T17" i="14"/>
  <c r="T22" i="14"/>
  <c r="T27" i="14"/>
  <c r="T54" i="14"/>
  <c r="T63" i="14"/>
  <c r="T29" i="14"/>
  <c r="T25" i="14"/>
  <c r="T60" i="14"/>
  <c r="T30" i="14"/>
  <c r="T37" i="14"/>
  <c r="T12" i="14"/>
  <c r="R18" i="1" l="1"/>
  <c r="R19" i="1"/>
  <c r="R15" i="1"/>
  <c r="X30" i="14"/>
  <c r="W30" i="14"/>
  <c r="V30" i="14"/>
  <c r="V31" i="14"/>
  <c r="X31" i="14"/>
  <c r="W31" i="14"/>
  <c r="X13" i="14"/>
  <c r="V13" i="14"/>
  <c r="W13" i="14"/>
  <c r="V58" i="14"/>
  <c r="W58" i="14"/>
  <c r="X58" i="14"/>
  <c r="V25" i="14"/>
  <c r="X25" i="14"/>
  <c r="W25" i="14"/>
  <c r="V44" i="14"/>
  <c r="W44" i="14"/>
  <c r="X44" i="14"/>
  <c r="X38" i="14"/>
  <c r="V38" i="14"/>
  <c r="W38" i="14"/>
  <c r="W24" i="14"/>
  <c r="X24" i="14"/>
  <c r="V24" i="14"/>
  <c r="V20" i="14"/>
  <c r="W20" i="14"/>
  <c r="X20" i="14"/>
  <c r="V41" i="14"/>
  <c r="X41" i="14"/>
  <c r="W41" i="14"/>
  <c r="V17" i="14"/>
  <c r="X17" i="14"/>
  <c r="W17" i="14"/>
  <c r="W35" i="14"/>
  <c r="V35" i="14"/>
  <c r="X35" i="14"/>
  <c r="W33" i="14"/>
  <c r="X33" i="14"/>
  <c r="V33" i="14"/>
  <c r="V36" i="14"/>
  <c r="W36" i="14"/>
  <c r="X36" i="14"/>
  <c r="X50" i="14"/>
  <c r="W50" i="14"/>
  <c r="V50" i="14"/>
  <c r="V23" i="14"/>
  <c r="W23" i="14"/>
  <c r="X23" i="14"/>
  <c r="X16" i="14"/>
  <c r="W16" i="14"/>
  <c r="V16" i="14"/>
  <c r="V48" i="14"/>
  <c r="W48" i="14"/>
  <c r="X48" i="14"/>
  <c r="V56" i="14"/>
  <c r="X56" i="14"/>
  <c r="W56" i="14"/>
  <c r="X51" i="14"/>
  <c r="W51" i="14"/>
  <c r="V51" i="14"/>
  <c r="X55" i="14"/>
  <c r="V55" i="14"/>
  <c r="W55" i="14"/>
  <c r="V8" i="14"/>
  <c r="W8" i="14"/>
  <c r="X8" i="14"/>
  <c r="V32" i="14"/>
  <c r="W32" i="14"/>
  <c r="X32" i="14"/>
  <c r="X62" i="14"/>
  <c r="V62" i="14"/>
  <c r="W62" i="14"/>
  <c r="V46" i="14"/>
  <c r="W46" i="14"/>
  <c r="X46" i="14"/>
  <c r="X26" i="14"/>
  <c r="W26" i="14"/>
  <c r="V26" i="14"/>
  <c r="W11" i="14"/>
  <c r="X11" i="14"/>
  <c r="V11" i="14"/>
  <c r="V39" i="14"/>
  <c r="W39" i="14"/>
  <c r="X39" i="14"/>
  <c r="X22" i="14"/>
  <c r="W22" i="14"/>
  <c r="V22" i="14"/>
  <c r="W61" i="14"/>
  <c r="V61" i="14"/>
  <c r="X61" i="14"/>
  <c r="W43" i="14"/>
  <c r="V43" i="14"/>
  <c r="X43" i="14"/>
  <c r="W18" i="14"/>
  <c r="V18" i="14"/>
  <c r="X18" i="14"/>
  <c r="V34" i="14"/>
  <c r="W34" i="14"/>
  <c r="X34" i="14"/>
  <c r="V28" i="14"/>
  <c r="W28" i="14"/>
  <c r="X28" i="14"/>
  <c r="X54" i="14"/>
  <c r="V54" i="14"/>
  <c r="W54" i="14"/>
  <c r="W14" i="14"/>
  <c r="X14" i="14"/>
  <c r="V14" i="14"/>
  <c r="X49" i="14"/>
  <c r="V49" i="14"/>
  <c r="W49" i="14"/>
  <c r="V42" i="14"/>
  <c r="X42" i="14"/>
  <c r="W42" i="14"/>
  <c r="V9" i="14"/>
  <c r="W9" i="14"/>
  <c r="X9" i="14"/>
  <c r="W47" i="14"/>
  <c r="X47" i="14"/>
  <c r="V47" i="14"/>
  <c r="V53" i="14"/>
  <c r="W53" i="14"/>
  <c r="X53" i="14"/>
  <c r="V15" i="14"/>
  <c r="X15" i="14"/>
  <c r="W15" i="14"/>
  <c r="X37" i="14"/>
  <c r="V37" i="14"/>
  <c r="W37" i="14"/>
  <c r="W27" i="14"/>
  <c r="X27" i="14"/>
  <c r="V27" i="14"/>
  <c r="X63" i="14"/>
  <c r="W63" i="14"/>
  <c r="V63" i="14"/>
  <c r="W57" i="14"/>
  <c r="X57" i="14"/>
  <c r="V57" i="14"/>
  <c r="X40" i="14"/>
  <c r="W40" i="14"/>
  <c r="V40" i="14"/>
  <c r="X45" i="14"/>
  <c r="W45" i="14"/>
  <c r="V45" i="14"/>
  <c r="W21" i="14"/>
  <c r="V21" i="14"/>
  <c r="X21" i="14"/>
  <c r="X59" i="14"/>
  <c r="V59" i="14"/>
  <c r="W59" i="14"/>
  <c r="V12" i="14"/>
  <c r="W12" i="14"/>
  <c r="X12" i="14"/>
  <c r="W10" i="14"/>
  <c r="X10" i="14"/>
  <c r="V10" i="14"/>
  <c r="V29" i="14"/>
  <c r="X29" i="14"/>
  <c r="W29" i="14"/>
  <c r="X52" i="14"/>
  <c r="V52" i="14"/>
  <c r="W52" i="14"/>
  <c r="X60" i="14"/>
  <c r="W60" i="14"/>
  <c r="V60" i="14"/>
  <c r="W19" i="14"/>
  <c r="V19" i="14"/>
  <c r="X19" i="14"/>
  <c r="AA47" i="14" l="1"/>
  <c r="AA11" i="14"/>
  <c r="AA24" i="14"/>
  <c r="AA38" i="14"/>
  <c r="AA30" i="14"/>
  <c r="AA44" i="14"/>
  <c r="AA13" i="14"/>
  <c r="AA62" i="14"/>
  <c r="AA34" i="14"/>
  <c r="AA19" i="14"/>
  <c r="AA60" i="14"/>
  <c r="AA15" i="14"/>
  <c r="AA57" i="14"/>
  <c r="AA25" i="14"/>
  <c r="AA12" i="14"/>
  <c r="AA39" i="14"/>
  <c r="AA46" i="14"/>
  <c r="AA29" i="14"/>
  <c r="AA18" i="14"/>
  <c r="AA59" i="14"/>
  <c r="AA23" i="14"/>
  <c r="AA63" i="14"/>
  <c r="AA54" i="14"/>
  <c r="AA61" i="14"/>
  <c r="AA16" i="14"/>
  <c r="AA33" i="14"/>
  <c r="AA10" i="14"/>
  <c r="AA40" i="14"/>
  <c r="AA49" i="14"/>
  <c r="AA56" i="14"/>
  <c r="AA50" i="14"/>
  <c r="AA52" i="14"/>
  <c r="AA27" i="14"/>
  <c r="AA22" i="14"/>
  <c r="AA41" i="14"/>
  <c r="AA9" i="14"/>
  <c r="AA14" i="14"/>
  <c r="AA28" i="14"/>
  <c r="AA43" i="14"/>
  <c r="AA26" i="14"/>
  <c r="AA31" i="14"/>
  <c r="AA55" i="14"/>
  <c r="AA35" i="14"/>
  <c r="AA21" i="14"/>
  <c r="AA42" i="14"/>
  <c r="AA51" i="14"/>
  <c r="AA36" i="14"/>
  <c r="AA58" i="14"/>
  <c r="AA45" i="14"/>
  <c r="AA37" i="14"/>
  <c r="AA53" i="14"/>
  <c r="AA32" i="14"/>
  <c r="AA48" i="14"/>
  <c r="AA17" i="14"/>
  <c r="AA20" i="14"/>
  <c r="AA8" i="14"/>
  <c r="AF8" i="14" s="1"/>
  <c r="AG8" i="14" s="1"/>
  <c r="I42" i="1"/>
  <c r="I45" i="1" s="1"/>
  <c r="AF22" i="14" l="1"/>
  <c r="AG22" i="14" s="1"/>
  <c r="AF31" i="14"/>
  <c r="AG31" i="14" s="1"/>
  <c r="AF34" i="14"/>
  <c r="AG34" i="14" s="1"/>
  <c r="AF61" i="14"/>
  <c r="AG61" i="14" s="1"/>
  <c r="AF20" i="14"/>
  <c r="AG20" i="14" s="1"/>
  <c r="AF36" i="14"/>
  <c r="AG36" i="14" s="1"/>
  <c r="AF43" i="14"/>
  <c r="AG43" i="14" s="1"/>
  <c r="AF50" i="14"/>
  <c r="AG50" i="14" s="1"/>
  <c r="AF54" i="14"/>
  <c r="AG54" i="14" s="1"/>
  <c r="AF12" i="14"/>
  <c r="AG12" i="14" s="1"/>
  <c r="AF13" i="14"/>
  <c r="AG13" i="14" s="1"/>
  <c r="AF37" i="14"/>
  <c r="AG37" i="14" s="1"/>
  <c r="AF11" i="14"/>
  <c r="AG11" i="14" s="1"/>
  <c r="AF16" i="14"/>
  <c r="AG16" i="14" s="1"/>
  <c r="AF52" i="14"/>
  <c r="AG52" i="14" s="1"/>
  <c r="AF28" i="14"/>
  <c r="AG28" i="14" s="1"/>
  <c r="AF25" i="14"/>
  <c r="AG25" i="14" s="1"/>
  <c r="AF44" i="14"/>
  <c r="AG44" i="14" s="1"/>
  <c r="AF33" i="14"/>
  <c r="AG33" i="14" s="1"/>
  <c r="AF45" i="14"/>
  <c r="AG45" i="14" s="1"/>
  <c r="AF46" i="14"/>
  <c r="AG46" i="14" s="1"/>
  <c r="AF39" i="14"/>
  <c r="AG39" i="14" s="1"/>
  <c r="AF51" i="14"/>
  <c r="AG51" i="14" s="1"/>
  <c r="AF48" i="14"/>
  <c r="AG48" i="14" s="1"/>
  <c r="AF14" i="14"/>
  <c r="AG14" i="14" s="1"/>
  <c r="AF23" i="14"/>
  <c r="AG23" i="14" s="1"/>
  <c r="AF57" i="14"/>
  <c r="AG57" i="14" s="1"/>
  <c r="AF30" i="14"/>
  <c r="AG30" i="14" s="1"/>
  <c r="AF29" i="14"/>
  <c r="AG29" i="14" s="1"/>
  <c r="AF47" i="14"/>
  <c r="AG47" i="14" s="1"/>
  <c r="AF26" i="14"/>
  <c r="AG26" i="14" s="1"/>
  <c r="AF17" i="14"/>
  <c r="AG17" i="14" s="1"/>
  <c r="AF56" i="14"/>
  <c r="AG56" i="14" s="1"/>
  <c r="AF42" i="14"/>
  <c r="AG42" i="14" s="1"/>
  <c r="AF49" i="14"/>
  <c r="AG49" i="14" s="1"/>
  <c r="AF32" i="14"/>
  <c r="AG32" i="14" s="1"/>
  <c r="AF21" i="14"/>
  <c r="AG21" i="14" s="1"/>
  <c r="AF9" i="14"/>
  <c r="AG9" i="14" s="1"/>
  <c r="AF40" i="14"/>
  <c r="AG40" i="14" s="1"/>
  <c r="AF59" i="14"/>
  <c r="AG59" i="14" s="1"/>
  <c r="AF15" i="14"/>
  <c r="AG15" i="14" s="1"/>
  <c r="AF38" i="14"/>
  <c r="AG38" i="14" s="1"/>
  <c r="AF55" i="14"/>
  <c r="AG55" i="14" s="1"/>
  <c r="AF19" i="14"/>
  <c r="AG19" i="14" s="1"/>
  <c r="AF27" i="14"/>
  <c r="AG27" i="14" s="1"/>
  <c r="AF58" i="14"/>
  <c r="AG58" i="14" s="1"/>
  <c r="AF62" i="14"/>
  <c r="AG62" i="14" s="1"/>
  <c r="AF63" i="14"/>
  <c r="AG63" i="14" s="1"/>
  <c r="AF53" i="14"/>
  <c r="AG53" i="14" s="1"/>
  <c r="AF35" i="14"/>
  <c r="AG35" i="14" s="1"/>
  <c r="AF41" i="14"/>
  <c r="AG41" i="14" s="1"/>
  <c r="AF10" i="14"/>
  <c r="AG10" i="14" s="1"/>
  <c r="AF18" i="14"/>
  <c r="AG18" i="14" s="1"/>
  <c r="AF60" i="14"/>
  <c r="AG60" i="14" s="1"/>
  <c r="AF24" i="14"/>
  <c r="AG24" i="14" s="1"/>
  <c r="I55" i="1"/>
  <c r="I59" i="1" s="1"/>
  <c r="AF65" i="14" l="1"/>
  <c r="AG65" i="14" s="1"/>
  <c r="R3"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Kitty Attema</author>
    <author>Keizer</author>
    <author>Bé Keizer</author>
    <author>Reinier Goedhart</author>
    <author>Annemarie van Groenestijn</author>
  </authors>
  <commentList>
    <comment ref="D17" authorId="0" shapeId="0" xr:uid="{0CD5A528-23A6-4AFB-B77D-89C9466F2160}">
      <text>
        <r>
          <rPr>
            <sz val="9"/>
            <color indexed="81"/>
            <rFont val="Tahoma"/>
            <family val="2"/>
          </rPr>
          <t xml:space="preserve">tredes a t/m d hebben een nummerieke benaming in dit model om der werking ervan te faciliteren.
</t>
        </r>
      </text>
    </comment>
    <comment ref="E25" authorId="1" shapeId="0" xr:uid="{00000000-0006-0000-0100-000002000000}">
      <text>
        <r>
          <rPr>
            <sz val="9"/>
            <color indexed="81"/>
            <rFont val="Tahoma"/>
            <family val="2"/>
          </rPr>
          <t>Deze toeslag wordt toegekend aan leraren die voldoen aan artikel 6.7 van de cao po, zie tabellen.</t>
        </r>
      </text>
    </comment>
    <comment ref="E26" authorId="2" shapeId="0" xr:uid="{00000000-0006-0000-0100-000003000000}">
      <text>
        <r>
          <rPr>
            <sz val="9"/>
            <color indexed="81"/>
            <rFont val="Tahoma"/>
            <family val="2"/>
          </rPr>
          <t>Deze toelage wordt toegekend aan (adjuinct)directeuren cf. artikel 8 van de cao po.</t>
        </r>
      </text>
    </comment>
    <comment ref="E27" authorId="1" shapeId="0" xr:uid="{00000000-0006-0000-0100-000004000000}">
      <text>
        <r>
          <rPr>
            <sz val="9"/>
            <color indexed="81"/>
            <rFont val="Tahoma"/>
            <family val="2"/>
          </rPr>
          <t>Deze eindejaarsuitkering wordt toegekend aan medewerkers in de schalen 1 t/m 16.</t>
        </r>
      </text>
    </comment>
    <comment ref="E28" authorId="1" shapeId="0" xr:uid="{D5D5A9A4-D467-44FE-BC69-56E49B9F3655}">
      <text>
        <r>
          <rPr>
            <sz val="9"/>
            <color indexed="81"/>
            <rFont val="Tahoma"/>
            <family val="2"/>
          </rPr>
          <t>Deze toelage wordt toegekend obv hetgeen is opgenomen in cao art. 6.9</t>
        </r>
      </text>
    </comment>
    <comment ref="E31" authorId="1" shapeId="0" xr:uid="{00000000-0006-0000-0100-000007000000}">
      <text>
        <r>
          <rPr>
            <sz val="9"/>
            <color indexed="81"/>
            <rFont val="Tahoma"/>
            <family val="2"/>
          </rPr>
          <t xml:space="preserve">
Het jaarinkomen ABP wordt in januari van elk jaar bepaald.</t>
        </r>
      </text>
    </comment>
    <comment ref="D35" authorId="3" shapeId="0" xr:uid="{0D516A93-89F8-4552-ABC8-8246CAEBC5EA}">
      <text>
        <r>
          <rPr>
            <sz val="9"/>
            <color indexed="81"/>
            <rFont val="Tahoma"/>
            <family val="2"/>
          </rPr>
          <t xml:space="preserve">
`</t>
        </r>
      </text>
    </comment>
    <comment ref="E42" authorId="4" shapeId="0" xr:uid="{B2D01E6F-EADB-4E1A-9B32-B06CFD550A0F}">
      <text>
        <r>
          <rPr>
            <sz val="9"/>
            <color indexed="81"/>
            <rFont val="Tahoma"/>
            <family val="2"/>
          </rPr>
          <t xml:space="preserve">Kies de code die hoort bij uw aansluiting - werkblad tabellen.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G3" authorId="0" shapeId="0" xr:uid="{1E0AEF70-6E14-4037-836D-B48F19401EBE}">
      <text>
        <r>
          <rPr>
            <sz val="9"/>
            <color indexed="81"/>
            <rFont val="Tahoma"/>
            <family val="2"/>
          </rPr>
          <t xml:space="preserve">Kies een variant uit het werkblad tabellen (regel 15 t/m 21)
</t>
        </r>
      </text>
    </comment>
    <comment ref="M7" authorId="0" shapeId="0" xr:uid="{AC07C98E-F950-45F7-9501-511AC504C783}">
      <text>
        <r>
          <rPr>
            <sz val="9"/>
            <color indexed="81"/>
            <rFont val="Tahoma"/>
            <family val="2"/>
          </rPr>
          <t xml:space="preserve">art. 6.7 cao 2023-2024
</t>
        </r>
      </text>
    </comment>
    <comment ref="V7" authorId="0" shapeId="0" xr:uid="{33792EBE-7FBD-46D6-A55B-10D9C638D127}">
      <text>
        <r>
          <rPr>
            <sz val="9"/>
            <color indexed="81"/>
            <rFont val="Tahoma"/>
            <family val="2"/>
          </rPr>
          <t xml:space="preserve">incl. werkhervattingskas en Wko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Keizer</author>
    <author>Kitty Attema</author>
    <author>B Keizer</author>
  </authors>
  <commentList>
    <comment ref="A11" authorId="0" shapeId="0" xr:uid="{00000000-0006-0000-0300-000001000000}">
      <text>
        <r>
          <rPr>
            <sz val="9"/>
            <color indexed="81"/>
            <rFont val="Tahoma"/>
            <family val="2"/>
          </rPr>
          <t xml:space="preserve">
De premie voor KinderOpvang is hier ondergebracht.</t>
        </r>
      </text>
    </comment>
    <comment ref="C11" authorId="1" shapeId="0" xr:uid="{791F74F4-9BB4-4AD9-B6AB-73402FE90ED7}">
      <text>
        <r>
          <rPr>
            <sz val="9"/>
            <color indexed="81"/>
            <rFont val="Tahoma"/>
            <family val="2"/>
          </rPr>
          <t>dit is het percentage voor middelgrote en grote werkgevers</t>
        </r>
        <r>
          <rPr>
            <b/>
            <sz val="9"/>
            <color indexed="81"/>
            <rFont val="Tahoma"/>
            <family val="2"/>
          </rPr>
          <t xml:space="preserve">
</t>
        </r>
      </text>
    </comment>
    <comment ref="B21" authorId="2" shapeId="0" xr:uid="{ED162164-9807-4BD0-A363-92B6C78D5A0E}">
      <text>
        <r>
          <rPr>
            <sz val="9"/>
            <color indexed="81"/>
            <rFont val="Tahoma"/>
            <family val="2"/>
          </rPr>
          <t>WPO art. 188 lid 3:
Van de in het eerste juncto tweede lid bedoelde verplichting kan Onze Minister op aanvraag van het bevoegd gezag ontheffing verlenen op grond van bezwaren van godsdienstige of levensbeschouwelijke aard. Onze Minister verleent de ontheffing slechts indien het bevoegd gezag aantoont dat een afdoende andere voorziening is getroffen met betrekking tot de gevolgen van vervanging bij afwezigheid van personeel. Onze Minister besluit binnen zes maanden na ontvangst van een aanvraag als bedoeld in de eerste volzin.</t>
        </r>
      </text>
    </comment>
    <comment ref="A30" authorId="2" shapeId="0" xr:uid="{00000000-0006-0000-0300-000004000000}">
      <text>
        <r>
          <rPr>
            <sz val="9"/>
            <color indexed="81"/>
            <rFont val="Tahoma"/>
            <family val="2"/>
          </rPr>
          <t xml:space="preserve">
Eenmalige uitkering in februari  naar rato wtf voor werknemers in dienst in januari 2020 van 875 euro.</t>
        </r>
      </text>
    </comment>
    <comment ref="A31" authorId="2" shapeId="0" xr:uid="{00000000-0006-0000-0300-000005000000}">
      <text>
        <r>
          <rPr>
            <sz val="9"/>
            <color indexed="81"/>
            <rFont val="Tahoma"/>
            <family val="2"/>
          </rPr>
          <t xml:space="preserve">
Uitkering van 33% van maandsalaris in januari 2020 naar rato aanstellingsduur en wtf in januari 2020.</t>
        </r>
      </text>
    </comment>
    <comment ref="B72" authorId="1" shapeId="0" xr:uid="{CEE6F768-36C1-452D-AF93-5BFE4FB824A1}">
      <text>
        <r>
          <rPr>
            <b/>
            <sz val="9"/>
            <color indexed="81"/>
            <rFont val="Tahoma"/>
            <family val="2"/>
          </rPr>
          <t>Kitty Attema:</t>
        </r>
        <r>
          <rPr>
            <sz val="9"/>
            <color indexed="81"/>
            <rFont val="Tahoma"/>
            <family val="2"/>
          </rPr>
          <t xml:space="preserve">
tijdelijke trede
</t>
        </r>
      </text>
    </comment>
    <comment ref="C72" authorId="1" shapeId="0" xr:uid="{4437E5DB-990C-4000-A4F2-8E614B884318}">
      <text>
        <r>
          <rPr>
            <b/>
            <sz val="9"/>
            <color indexed="81"/>
            <rFont val="Tahoma"/>
            <family val="2"/>
          </rPr>
          <t>Kitty Attema:</t>
        </r>
        <r>
          <rPr>
            <sz val="9"/>
            <color indexed="81"/>
            <rFont val="Tahoma"/>
            <family val="2"/>
          </rPr>
          <t xml:space="preserve">
tijdelijke trede
</t>
        </r>
      </text>
    </comment>
    <comment ref="D72" authorId="1" shapeId="0" xr:uid="{325AC291-A326-4F05-991E-CF0758B44C55}">
      <text>
        <r>
          <rPr>
            <b/>
            <sz val="9"/>
            <color indexed="81"/>
            <rFont val="Tahoma"/>
            <family val="2"/>
          </rPr>
          <t>Kitty Attema:</t>
        </r>
        <r>
          <rPr>
            <sz val="9"/>
            <color indexed="81"/>
            <rFont val="Tahoma"/>
            <family val="2"/>
          </rPr>
          <t xml:space="preserve">
tijdelijke trede
</t>
        </r>
      </text>
    </comment>
    <comment ref="E72" authorId="1" shapeId="0" xr:uid="{3F0169BB-7F26-43D6-92FE-07333351A5B6}">
      <text>
        <r>
          <rPr>
            <b/>
            <sz val="9"/>
            <color indexed="81"/>
            <rFont val="Tahoma"/>
            <family val="2"/>
          </rPr>
          <t>Kitty Attema:</t>
        </r>
        <r>
          <rPr>
            <sz val="9"/>
            <color indexed="81"/>
            <rFont val="Tahoma"/>
            <family val="2"/>
          </rPr>
          <t xml:space="preserve">
tijdelijke trede
</t>
        </r>
      </text>
    </comment>
    <comment ref="B73" authorId="1" shapeId="0" xr:uid="{8BA72F13-CF38-490C-A635-D415927DE451}">
      <text>
        <r>
          <rPr>
            <sz val="9"/>
            <color indexed="81"/>
            <rFont val="Tahoma"/>
            <family val="2"/>
          </rPr>
          <t xml:space="preserve">tredes a t/m d hebben een nummerieke benaming in dit model om der werking ervan te faciliteren.
</t>
        </r>
      </text>
    </comment>
    <comment ref="C73" authorId="1" shapeId="0" xr:uid="{D3BA72E0-84CD-4477-BCAE-6A795DEF1620}">
      <text>
        <r>
          <rPr>
            <sz val="9"/>
            <color indexed="81"/>
            <rFont val="Tahoma"/>
            <family val="2"/>
          </rPr>
          <t xml:space="preserve">tredes a t/m d hebben een nummerieke benaming in dit model om der werking ervan te faciliteren.
</t>
        </r>
      </text>
    </comment>
    <comment ref="D73" authorId="1" shapeId="0" xr:uid="{E8BEF66A-CA47-42DA-8900-B760F11CF066}">
      <text>
        <r>
          <rPr>
            <sz val="9"/>
            <color indexed="81"/>
            <rFont val="Tahoma"/>
            <family val="2"/>
          </rPr>
          <t xml:space="preserve">tredes a t/m d hebben een nummerieke benaming in dit model om der werking ervan te faciliteren.
</t>
        </r>
      </text>
    </comment>
    <comment ref="E73" authorId="1" shapeId="0" xr:uid="{2631D9EE-9E33-495B-AB84-1203D23F57FF}">
      <text>
        <r>
          <rPr>
            <sz val="9"/>
            <color indexed="81"/>
            <rFont val="Tahoma"/>
            <family val="2"/>
          </rPr>
          <t xml:space="preserve">tredes a t/m d hebben een nummerieke benaming in dit model om der werking ervan te faciliteren.
</t>
        </r>
      </text>
    </comment>
  </commentList>
</comments>
</file>

<file path=xl/sharedStrings.xml><?xml version="1.0" encoding="utf-8"?>
<sst xmlns="http://schemas.openxmlformats.org/spreadsheetml/2006/main" count="373" uniqueCount="263">
  <si>
    <t>TOELICHTING</t>
  </si>
  <si>
    <t>De werkbladen zijn beveiligd met het wachtwoord:</t>
  </si>
  <si>
    <t>poraad</t>
  </si>
  <si>
    <t>Alleen de witte velden kunnen worden gewijzigd, en bevatten de op te geven variabelen voor de berekeningen.</t>
  </si>
  <si>
    <t>Werkwijze</t>
  </si>
  <si>
    <t>In het werkblad werkgeverslasten individueel kunt u op individueel werknemersniveau de werkgeverslasten berekenen en het bijbehorende werkgevers %.</t>
  </si>
  <si>
    <t>In het tabblad werkgeverslasten totaal kunt u ten behoeve van een (meerjaren)begroting uw complete formatie invoeren en het gemiddelde % berekenen.</t>
  </si>
  <si>
    <t xml:space="preserve">Een uitvoerige beschrijving van de inhoud van de betreffende tabbladen vindt u verderop in dit werkblad. </t>
  </si>
  <si>
    <t>Brongegevens in werkblad tabellen</t>
  </si>
  <si>
    <r>
      <t xml:space="preserve">In dit model zijn de salaristabellen uit de </t>
    </r>
    <r>
      <rPr>
        <sz val="10"/>
        <color rgb="FFC00000"/>
        <rFont val="Calibri"/>
        <family val="2"/>
      </rPr>
      <t>c</t>
    </r>
    <r>
      <rPr>
        <b/>
        <sz val="10"/>
        <color rgb="FFC00000"/>
        <rFont val="Calibri"/>
        <family val="2"/>
      </rPr>
      <t xml:space="preserve">ao po 2023-2024 </t>
    </r>
    <r>
      <rPr>
        <sz val="10"/>
        <rFont val="Calibri"/>
        <family val="2"/>
      </rPr>
      <t>opgenomen. Wanneer een volgende cao po wordt afgesloten, dan volgt een bijgestelde versie.</t>
    </r>
  </si>
  <si>
    <t>De gegevens omtrent de grondslag van uitkeringen e.d. zijn ontleend aan de Internetpublicaties van de Belastingdienst, ABP, UWV en OCW, en</t>
  </si>
  <si>
    <t>de CAO PO 2023-2024. De algemene premies zijn van toepassing vanaf 1 januari 2023.</t>
  </si>
  <si>
    <r>
      <t xml:space="preserve">Omdat de premies aangepast zijn per 1 januari, hebben de berekeningen in dit model betrekking op het </t>
    </r>
    <r>
      <rPr>
        <b/>
        <sz val="10"/>
        <rFont val="Calibri"/>
        <family val="2"/>
      </rPr>
      <t>kalenderjaar</t>
    </r>
    <r>
      <rPr>
        <sz val="10"/>
        <rFont val="Calibri"/>
        <family val="2"/>
      </rPr>
      <t>.</t>
    </r>
  </si>
  <si>
    <t>Voorbehoud</t>
  </si>
  <si>
    <t>Dit model geeft slechts een indicatie en is een hulpmiddel. Voor exacte, individuele salarisberekeningen kunt u contact opnemen met de salarisadministratie.</t>
  </si>
  <si>
    <t>Veel administratiekantoren bieden tools aan via hun website voor de berekening van loonkosten en bruto/netto berekeningen.</t>
  </si>
  <si>
    <t>In de software van de salarisadministratie worden er ook premies bepaald volgens de zgn. aanwas van de premiegrondslagmethode.</t>
  </si>
  <si>
    <t>Er wordt dan met een voortschrijdende cumulatief gerekend. Hierin voorziet dit model niet. Immers de berekende resultaten van de vorige perioden zijn niet aanwezig.</t>
  </si>
  <si>
    <t>Bijzonderheden</t>
  </si>
  <si>
    <t xml:space="preserve">Op grond van het bruto salaris per maand wordt het jaarinkomen berekend. </t>
  </si>
  <si>
    <t>Het jaarinkomen ABP wordt bepaald op basis van de situatie in januari van het betreffende jaar. Incidentele toekenningen in het voorafgaande jaar (t-1)</t>
  </si>
  <si>
    <t>worden ook meegenomen in de grondslag van het daarop volgende jaar in januari (t).</t>
  </si>
  <si>
    <t>Premie Alg. Werkloosheidsfonds</t>
  </si>
  <si>
    <r>
      <t xml:space="preserve">De premie voor marktwerkgevers bestaat uit de lage premie (Awf-laag </t>
    </r>
    <r>
      <rPr>
        <b/>
        <sz val="10"/>
        <color rgb="FFC00000"/>
        <rFont val="Calibri"/>
        <family val="2"/>
        <scheme val="minor"/>
      </rPr>
      <t>2,64%</t>
    </r>
    <r>
      <rPr>
        <sz val="10"/>
        <rFont val="Calibri"/>
        <family val="2"/>
        <scheme val="minor"/>
      </rPr>
      <t xml:space="preserve">) , geldend voor werknemers met een schriftelijk vast contract voor onbepaalde tijd, </t>
    </r>
  </si>
  <si>
    <r>
      <t>niet zijnde oproep overeenkomsten ed. en uit de hoge premie (</t>
    </r>
    <r>
      <rPr>
        <b/>
        <sz val="10"/>
        <color rgb="FFC00000"/>
        <rFont val="Calibri"/>
        <family val="2"/>
      </rPr>
      <t>7,64%</t>
    </r>
    <r>
      <rPr>
        <b/>
        <sz val="10"/>
        <color rgb="FFFF0000"/>
        <rFont val="Calibri"/>
        <family val="2"/>
      </rPr>
      <t>)</t>
    </r>
    <r>
      <rPr>
        <sz val="10"/>
        <rFont val="Calibri"/>
        <family val="2"/>
      </rPr>
      <t xml:space="preserve"> geldend voor overige overeenkomsten. </t>
    </r>
  </si>
  <si>
    <t>In dit instrument wordt alleen de lage premie gehanteerd.</t>
  </si>
  <si>
    <t xml:space="preserve">Kosten ziekte en vervanging </t>
  </si>
  <si>
    <t xml:space="preserve">Veel schoolbesturen zijn inmiddels eigen risicodrager voor de ziektevervanging. In zowel het werkblad wg lasten individueel als wg lasten totaal, </t>
  </si>
  <si>
    <t>dient u aan te geven welke aansluiting op u van toepassing is, zodat het juiste premiepercentage wordt gehanteerd.</t>
  </si>
  <si>
    <t>1. Volledig ERD</t>
  </si>
  <si>
    <t>2. Volledig aangesloten</t>
  </si>
  <si>
    <t>3. ERD WD14</t>
  </si>
  <si>
    <t xml:space="preserve"> (14 wachtdagen)</t>
  </si>
  <si>
    <t>4. ERD WD42</t>
  </si>
  <si>
    <t xml:space="preserve"> (42 wachtdagen)</t>
  </si>
  <si>
    <t>5. ERD SL80</t>
  </si>
  <si>
    <t xml:space="preserve"> (Stop Los 80)</t>
  </si>
  <si>
    <t>6. ERD SL100</t>
  </si>
  <si>
    <t xml:space="preserve"> (Stop Los 100)</t>
  </si>
  <si>
    <t>7. Vf ontheffing</t>
  </si>
  <si>
    <r>
      <t xml:space="preserve">De keuze van eigenrisicodragerschap geldt ook </t>
    </r>
    <r>
      <rPr>
        <sz val="10"/>
        <rFont val="Calibri"/>
        <family val="2"/>
      </rPr>
      <t>voor samenwerkingsverbanden van besturen.</t>
    </r>
  </si>
  <si>
    <t>De premie van het PF per 1-1-2023 is</t>
  </si>
  <si>
    <t>Overige loonkosten</t>
  </si>
  <si>
    <t>Deze zijn nader aangegeven en voor zover nodig nader toegelicht in  het tekstvak in het werkblad tabellen</t>
  </si>
  <si>
    <t xml:space="preserve">Dergelijke componenten zijn in dit model niet geautomatiseerd opgenomen omdat ze sterk afhankelijk zijn van individuele situaties van werknemers. </t>
  </si>
  <si>
    <t xml:space="preserve">De opsomming kan u echter helpen bij het zo volledig mogelijk maken van de werkgeverslasten behorende bij een individuele werknemer </t>
  </si>
  <si>
    <t xml:space="preserve">voor begrotingsdoeleinden. </t>
  </si>
  <si>
    <t>Voor nadere informatie:</t>
  </si>
  <si>
    <r>
      <t xml:space="preserve">Heeft u een vraag dan kunt u deze stellen </t>
    </r>
    <r>
      <rPr>
        <sz val="10"/>
        <rFont val="Calibri"/>
        <family val="2"/>
      </rPr>
      <t>via het icoon op de pagina van de Juridische helpdesk op mijnporaad.nl (na inlog in het ledenportaal)</t>
    </r>
  </si>
  <si>
    <t>Indien u een indicatie bruto/netto wilt berekenen voor de individuele werknemer, dan kunt u gebruik maken van tools die hiervoor ter beschikking worden gesteld op de website van diverse administratiekantoren.</t>
  </si>
  <si>
    <t>BASISGEGEVENS</t>
  </si>
  <si>
    <t>Werknemer</t>
  </si>
  <si>
    <t>Jansen</t>
  </si>
  <si>
    <t>Geboortedatum</t>
  </si>
  <si>
    <t>A. SALARIS</t>
  </si>
  <si>
    <t>per maand</t>
  </si>
  <si>
    <t>per jaar</t>
  </si>
  <si>
    <t>Opslag Werkgeverspercentage: totale loonkosten t.o.v. bruto salaris</t>
  </si>
  <si>
    <t>schaal</t>
  </si>
  <si>
    <t>trede</t>
  </si>
  <si>
    <t>totale loonkosten (excl. overige) t.o.v. kosten gerelateerd aan inkomen werkn.</t>
  </si>
  <si>
    <r>
      <rPr>
        <i/>
        <u/>
        <sz val="9"/>
        <rFont val="Calibri"/>
        <family val="2"/>
      </rPr>
      <t>Van</t>
    </r>
    <r>
      <rPr>
        <i/>
        <sz val="9"/>
        <rFont val="Calibri"/>
        <family val="2"/>
      </rPr>
      <t xml:space="preserve"> bruto-salaris (A) - </t>
    </r>
    <r>
      <rPr>
        <i/>
        <u/>
        <sz val="9"/>
        <rFont val="Calibri"/>
        <family val="2"/>
      </rPr>
      <t>naar</t>
    </r>
    <r>
      <rPr>
        <i/>
        <sz val="9"/>
        <rFont val="Calibri"/>
        <family val="2"/>
      </rPr>
      <t xml:space="preserve"> jaarinkomen ABP (A+B)</t>
    </r>
  </si>
  <si>
    <t>norm maandsalaris</t>
  </si>
  <si>
    <r>
      <rPr>
        <i/>
        <u/>
        <sz val="9"/>
        <rFont val="Calibri"/>
        <family val="2"/>
      </rPr>
      <t>Van</t>
    </r>
    <r>
      <rPr>
        <i/>
        <sz val="9"/>
        <rFont val="Calibri"/>
        <family val="2"/>
      </rPr>
      <t xml:space="preserve"> Jaarinkomen ABP (A+B) - </t>
    </r>
    <r>
      <rPr>
        <i/>
        <u/>
        <sz val="9"/>
        <rFont val="Calibri"/>
        <family val="2"/>
      </rPr>
      <t>naar</t>
    </r>
    <r>
      <rPr>
        <i/>
        <sz val="9"/>
        <rFont val="Calibri"/>
        <family val="2"/>
      </rPr>
      <t xml:space="preserve"> totale loonkosten (E)</t>
    </r>
  </si>
  <si>
    <t>werktijdfactor</t>
  </si>
  <si>
    <r>
      <rPr>
        <i/>
        <u/>
        <sz val="9"/>
        <rFont val="Calibri"/>
        <family val="2"/>
      </rPr>
      <t>Van</t>
    </r>
    <r>
      <rPr>
        <i/>
        <sz val="9"/>
        <rFont val="Calibri"/>
        <family val="2"/>
      </rPr>
      <t xml:space="preserve"> bruto-salaris (A) - </t>
    </r>
    <r>
      <rPr>
        <i/>
        <u/>
        <sz val="9"/>
        <rFont val="Calibri"/>
        <family val="2"/>
      </rPr>
      <t>naar</t>
    </r>
    <r>
      <rPr>
        <i/>
        <sz val="9"/>
        <rFont val="Calibri"/>
        <family val="2"/>
      </rPr>
      <t xml:space="preserve"> totale loonkosten (E)</t>
    </r>
  </si>
  <si>
    <t>totaal bruto-salaris</t>
  </si>
  <si>
    <t>B. OVERIGE LOONCOMPONENTEN</t>
  </si>
  <si>
    <t>vakantieuitkering</t>
  </si>
  <si>
    <t>eindejaarsuitkering</t>
  </si>
  <si>
    <t>uitlooptoeslag leraar</t>
  </si>
  <si>
    <t>nee</t>
  </si>
  <si>
    <t>arbeidsmarkttoelage (adj.)directeuren</t>
  </si>
  <si>
    <t>eindejaarsuitkering OOP</t>
  </si>
  <si>
    <t>bindingstoelage</t>
  </si>
  <si>
    <t>totaal overige looncomponenten</t>
  </si>
  <si>
    <t>Jaarinkomen ABP (A + B)</t>
  </si>
  <si>
    <t xml:space="preserve">C. PREMIES PENSIOEN EN WN-VERZEKERINGEN </t>
  </si>
  <si>
    <t>OP/NP</t>
  </si>
  <si>
    <t>AOP</t>
  </si>
  <si>
    <t>FPU (VUT/FPU basis)</t>
  </si>
  <si>
    <t>WAO/WIA (incl. Wko en Whk)</t>
  </si>
  <si>
    <t>ZVW premie werkgever</t>
  </si>
  <si>
    <t>Ufo</t>
  </si>
  <si>
    <t>premie Vervangingsfonds (Vf)</t>
  </si>
  <si>
    <t xml:space="preserve">kosten vervanging eigen beleid  </t>
  </si>
  <si>
    <t>premie Participatiefonds (Pf)</t>
  </si>
  <si>
    <t>totaal premies pensioenen en wn-verzekeringen</t>
  </si>
  <si>
    <t xml:space="preserve">D. EIGEN BELEID </t>
  </si>
  <si>
    <t xml:space="preserve">overige toelagen </t>
  </si>
  <si>
    <t>tegemoetkoming reiskosten</t>
  </si>
  <si>
    <t xml:space="preserve">kosten vervanging verlof </t>
  </si>
  <si>
    <t xml:space="preserve">betaald ouderschapsverlof </t>
  </si>
  <si>
    <t>overig eigen beleid</t>
  </si>
  <si>
    <t xml:space="preserve">totaal eigen beleid </t>
  </si>
  <si>
    <t>Totaal werkgeverslasten (C + D)</t>
  </si>
  <si>
    <t>E. Totale loonkosten</t>
  </si>
  <si>
    <t>pensioenpremie werknemer</t>
  </si>
  <si>
    <t xml:space="preserve">Premie Vf? </t>
  </si>
  <si>
    <t>O.b.v. onderstaande gegevens berekende % opslag werkgeverslasten:</t>
  </si>
  <si>
    <t>recht uitloop-</t>
  </si>
  <si>
    <t>wtf</t>
  </si>
  <si>
    <t>fc</t>
  </si>
  <si>
    <t xml:space="preserve">maand </t>
  </si>
  <si>
    <t>uitkeringen/toelagen</t>
  </si>
  <si>
    <t>Premies</t>
  </si>
  <si>
    <t>Eigen beleid (toelagen, vervanging)</t>
  </si>
  <si>
    <t>werknemer</t>
  </si>
  <si>
    <t>geb.datum</t>
  </si>
  <si>
    <t>toeslag OP?</t>
  </si>
  <si>
    <t>salaris</t>
  </si>
  <si>
    <t>vakantie</t>
  </si>
  <si>
    <t>EJU</t>
  </si>
  <si>
    <t>uitloop</t>
  </si>
  <si>
    <t>arbeidsmarkt</t>
  </si>
  <si>
    <t>EJU OOP</t>
  </si>
  <si>
    <t>bindings toelage</t>
  </si>
  <si>
    <t>mnd inkomen ABP</t>
  </si>
  <si>
    <t>IVP</t>
  </si>
  <si>
    <t>WAO/WIA</t>
  </si>
  <si>
    <t>ZVW</t>
  </si>
  <si>
    <t>Vf</t>
  </si>
  <si>
    <t>Pf</t>
  </si>
  <si>
    <t>premies tot</t>
  </si>
  <si>
    <t>opslag verv.</t>
  </si>
  <si>
    <t>eigen bedrag</t>
  </si>
  <si>
    <t>eigen beleid</t>
  </si>
  <si>
    <t>wg.lasten incl.eigen beleid</t>
  </si>
  <si>
    <t>ind.wg opslag %</t>
  </si>
  <si>
    <t>OP/NP werknr.</t>
  </si>
  <si>
    <t>voorbeeld</t>
  </si>
  <si>
    <t>Totaal</t>
  </si>
  <si>
    <t>TABELLEN</t>
  </si>
  <si>
    <t>Kalenderjaar</t>
  </si>
  <si>
    <t>vanaf 1-1</t>
  </si>
  <si>
    <t>datumnu</t>
  </si>
  <si>
    <t>schooljaar</t>
  </si>
  <si>
    <t>2023/2024</t>
  </si>
  <si>
    <t>Tabel premiepercentages</t>
  </si>
  <si>
    <t>werkgever</t>
  </si>
  <si>
    <t>franchise jr</t>
  </si>
  <si>
    <t>franchise mnd</t>
  </si>
  <si>
    <t>max. premieloon</t>
  </si>
  <si>
    <t>maand</t>
  </si>
  <si>
    <t>meer info</t>
  </si>
  <si>
    <t>https://www.abp.nl/content/dam/abp/common/documents/Premietabel_2024.pdf</t>
  </si>
  <si>
    <t>Inkoop voorwaardelijk pensioen (IVP/VPL)</t>
  </si>
  <si>
    <t>WAO/WIA-basispremie (Aof, incl. Wko)</t>
  </si>
  <si>
    <t>Sinds 2022 gedifferentieerd. Kleine werkgevers betalen 5,46% (tot 25 maal de gemiddelde premieplichtige loonsom)</t>
  </si>
  <si>
    <t>Whk: WGA vast en ZW-flex</t>
  </si>
  <si>
    <t>gedifferentieerde-premies-wga-en-ziektewet-2024_tcm94-451365.pdf (uwv.nl)</t>
  </si>
  <si>
    <t>Ufo-premie</t>
  </si>
  <si>
    <t>ongewijzigd.</t>
  </si>
  <si>
    <t>Volledig ERD</t>
  </si>
  <si>
    <t>(1)</t>
  </si>
  <si>
    <t>https://www.vfpf.nl/actueel/premiepercentages-vf-en-pf-voor-2024-zijn-bekend</t>
  </si>
  <si>
    <t>Volledig aangesloten</t>
  </si>
  <si>
    <t>(2)</t>
  </si>
  <si>
    <t>idem</t>
  </si>
  <si>
    <t>ERD WD14</t>
  </si>
  <si>
    <t>(3)</t>
  </si>
  <si>
    <t>ERD WD42</t>
  </si>
  <si>
    <t>(4)</t>
  </si>
  <si>
    <t>ERD SL80</t>
  </si>
  <si>
    <t>(5)</t>
  </si>
  <si>
    <t>ERD SL100</t>
  </si>
  <si>
    <t>(6)</t>
  </si>
  <si>
    <t>Vf ontheffing</t>
  </si>
  <si>
    <t>(7)</t>
  </si>
  <si>
    <t>Participatiefonds</t>
  </si>
  <si>
    <t>totaal ex Vf</t>
  </si>
  <si>
    <t>Uitlooptoeslag OP</t>
  </si>
  <si>
    <t>LB</t>
  </si>
  <si>
    <t>LC</t>
  </si>
  <si>
    <t>LD</t>
  </si>
  <si>
    <t>LE</t>
  </si>
  <si>
    <t>Eenmalige nominale uitkering wn</t>
  </si>
  <si>
    <t>Uitkering wn maandloon januari</t>
  </si>
  <si>
    <t>Vakantieuitkering</t>
  </si>
  <si>
    <t>Minimum vakantietoelage, fulltimer</t>
  </si>
  <si>
    <t>bij een normbetrekking, per maand</t>
  </si>
  <si>
    <t>Structurele eindejaarsuitkering</t>
  </si>
  <si>
    <t>Eindejaarsuitkering OOP</t>
  </si>
  <si>
    <t>Arbeidsmarkttoelage directeuren</t>
  </si>
  <si>
    <t>A10</t>
  </si>
  <si>
    <t>A11</t>
  </si>
  <si>
    <t>A12</t>
  </si>
  <si>
    <t>A13</t>
  </si>
  <si>
    <t>D11</t>
  </si>
  <si>
    <t>D12</t>
  </si>
  <si>
    <t>D13</t>
  </si>
  <si>
    <t>D14</t>
  </si>
  <si>
    <t>D15</t>
  </si>
  <si>
    <t>Bindingstoelage</t>
  </si>
  <si>
    <t>A1013</t>
  </si>
  <si>
    <t>A1116</t>
  </si>
  <si>
    <t>A1212</t>
  </si>
  <si>
    <t>A1313</t>
  </si>
  <si>
    <t>D1116</t>
  </si>
  <si>
    <t>D1212</t>
  </si>
  <si>
    <t>D1313</t>
  </si>
  <si>
    <t>D1411</t>
  </si>
  <si>
    <t>D1512</t>
  </si>
  <si>
    <t>LB12</t>
  </si>
  <si>
    <t>LC12</t>
  </si>
  <si>
    <t>LD12</t>
  </si>
  <si>
    <t>LE12</t>
  </si>
  <si>
    <t>ja</t>
  </si>
  <si>
    <t>salaristabellen</t>
  </si>
  <si>
    <t>1-7-2023 (cao 2023-2024)</t>
  </si>
  <si>
    <t>a</t>
  </si>
  <si>
    <t>b</t>
  </si>
  <si>
    <t>c</t>
  </si>
  <si>
    <t>d</t>
  </si>
  <si>
    <t>schaal / trede</t>
  </si>
  <si>
    <t>tredes</t>
  </si>
  <si>
    <t>FC</t>
  </si>
  <si>
    <t>DIR</t>
  </si>
  <si>
    <t>OP</t>
  </si>
  <si>
    <t>LIOa</t>
  </si>
  <si>
    <t>LIOb</t>
  </si>
  <si>
    <t>OOP</t>
  </si>
  <si>
    <t xml:space="preserve">CAO PO 2021 </t>
  </si>
  <si>
    <t xml:space="preserve">Leraren </t>
  </si>
  <si>
    <t>L10</t>
  </si>
  <si>
    <t>L11</t>
  </si>
  <si>
    <t>L12</t>
  </si>
  <si>
    <t>L13</t>
  </si>
  <si>
    <t>L14</t>
  </si>
  <si>
    <t>I, D, P</t>
  </si>
  <si>
    <t>Instroombaan</t>
  </si>
  <si>
    <t>Doorstroombaan</t>
  </si>
  <si>
    <t>Participatie
baan</t>
  </si>
  <si>
    <t>schaal 1</t>
  </si>
  <si>
    <t>schaal 2</t>
  </si>
  <si>
    <t>schaal 3</t>
  </si>
  <si>
    <t>a1</t>
  </si>
  <si>
    <t>a2</t>
  </si>
  <si>
    <t/>
  </si>
  <si>
    <t xml:space="preserve">Directeuren </t>
  </si>
  <si>
    <t xml:space="preserve">Adjunctdirecteuren </t>
  </si>
  <si>
    <t>Bijlage A12</t>
  </si>
  <si>
    <t>15-jaarsuitzicht</t>
  </si>
  <si>
    <t>salaris-nummer</t>
  </si>
  <si>
    <t>bedrag</t>
  </si>
  <si>
    <t xml:space="preserve">Toelagen </t>
  </si>
  <si>
    <t>structurele eindejaarsuitkering</t>
  </si>
  <si>
    <t>art. 6.11</t>
  </si>
  <si>
    <t>art. 6.21</t>
  </si>
  <si>
    <t>a functieschalen 1-5</t>
  </si>
  <si>
    <t>b functieschalen 6-8</t>
  </si>
  <si>
    <t>nominale uitkering (dag van de leraar)</t>
  </si>
  <si>
    <t>art. 6.9</t>
  </si>
  <si>
    <t>bijlage A8</t>
  </si>
  <si>
    <t>uitlooptoeslag</t>
  </si>
  <si>
    <t>art. 6.7</t>
  </si>
  <si>
    <t>minimumbedrag bij promotie</t>
  </si>
  <si>
    <t>art. 6.24</t>
  </si>
  <si>
    <t>toelage seniorleraar SBO/WEC</t>
  </si>
  <si>
    <t>1e jaar</t>
  </si>
  <si>
    <t>2e jaar</t>
  </si>
  <si>
    <t>minimumvakantieuitkering</t>
  </si>
  <si>
    <t>links geactualiseerd d.d. 20-12-2023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</si>
</sst>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quot;€&quot;\ * #,##0_ ;_ &quot;€&quot;\ * \-#,##0_ ;_ &quot;€&quot;\ * &quot;-&quot;_ ;_ @_ "/>
    <numFmt numFmtId="44" formatCode="_ &quot;€&quot;\ * #,##0.00_ ;_ &quot;€&quot;\ * \-#,##0.00_ ;_ &quot;€&quot;\ * &quot;-&quot;??_ ;_ @_ "/>
    <numFmt numFmtId="164" formatCode="_-&quot;€&quot;\ * #,##0.00_-;_-&quot;€&quot;\ * #,##0.00\-;_-&quot;€&quot;\ * &quot;-&quot;??_-;_-@_-"/>
    <numFmt numFmtId="165" formatCode="_-&quot;fl&quot;\ * #,##0.00_-;_-&quot;fl&quot;\ * #,##0.00\-;_-&quot;fl&quot;\ * &quot;-&quot;??_-;_-@_-"/>
    <numFmt numFmtId="166" formatCode="0.0000"/>
    <numFmt numFmtId="167" formatCode="0.000%"/>
    <numFmt numFmtId="168" formatCode="0.0%"/>
    <numFmt numFmtId="169" formatCode="_-&quot;€&quot;\ * #,##0_-;_-&quot;€&quot;\ * #,##0\-;_-&quot;€&quot;\ * &quot;-&quot;??_-;_-@_-"/>
    <numFmt numFmtId="170" formatCode="_ [$€-413]\ * #,##0.00_ ;_ [$€-413]\ * \-#,##0.00_ ;_ [$€-413]\ * &quot;-&quot;??_ ;_ @_ "/>
    <numFmt numFmtId="171" formatCode="d\ mmmm\ yyyy"/>
    <numFmt numFmtId="172" formatCode="[$-413]d\ mmmm\ yyyy;@"/>
    <numFmt numFmtId="173" formatCode="&quot;€&quot;\ #,##0.00"/>
    <numFmt numFmtId="174" formatCode="&quot;€&quot;\ #,##0"/>
  </numFmts>
  <fonts count="84" x14ac:knownFonts="1">
    <font>
      <sz val="10"/>
      <name val="Arial"/>
    </font>
    <font>
      <sz val="10"/>
      <name val="Arial"/>
      <family val="2"/>
    </font>
    <font>
      <u/>
      <sz val="10"/>
      <color indexed="12"/>
      <name val="Arial"/>
      <family val="2"/>
    </font>
    <font>
      <sz val="9"/>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b/>
      <sz val="12"/>
      <color indexed="9"/>
      <name val="Calibri"/>
      <family val="2"/>
    </font>
    <font>
      <sz val="10"/>
      <name val="Calibri"/>
      <family val="2"/>
    </font>
    <font>
      <i/>
      <sz val="12"/>
      <name val="Calibri"/>
      <family val="2"/>
    </font>
    <font>
      <b/>
      <sz val="10"/>
      <color indexed="10"/>
      <name val="Calibri"/>
      <family val="2"/>
    </font>
    <font>
      <sz val="10"/>
      <color indexed="10"/>
      <name val="Calibri"/>
      <family val="2"/>
    </font>
    <font>
      <i/>
      <sz val="10"/>
      <name val="Calibri"/>
      <family val="2"/>
    </font>
    <font>
      <u/>
      <sz val="10"/>
      <color indexed="12"/>
      <name val="Calibri"/>
      <family val="2"/>
    </font>
    <font>
      <b/>
      <sz val="10"/>
      <color indexed="60"/>
      <name val="Calibri"/>
      <family val="2"/>
    </font>
    <font>
      <sz val="12"/>
      <name val="Calibri"/>
      <family val="2"/>
    </font>
    <font>
      <sz val="14"/>
      <color indexed="60"/>
      <name val="Calibri"/>
      <family val="2"/>
    </font>
    <font>
      <sz val="10"/>
      <name val="Calibri"/>
      <family val="2"/>
      <scheme val="minor"/>
    </font>
    <font>
      <u/>
      <sz val="10"/>
      <color indexed="12"/>
      <name val="Calibri"/>
      <family val="2"/>
      <scheme val="minor"/>
    </font>
    <font>
      <sz val="10"/>
      <color rgb="FFC00000"/>
      <name val="Calibri"/>
      <family val="2"/>
    </font>
    <font>
      <i/>
      <sz val="12"/>
      <color indexed="8"/>
      <name val="Calibri"/>
      <family val="2"/>
    </font>
    <font>
      <sz val="14"/>
      <color rgb="FFC00000"/>
      <name val="Calibri"/>
      <family val="2"/>
    </font>
    <font>
      <sz val="10"/>
      <color theme="0" tint="-0.249977111117893"/>
      <name val="Calibri"/>
      <family val="2"/>
    </font>
    <font>
      <sz val="11"/>
      <color theme="0" tint="-0.249977111117893"/>
      <name val="Calibri"/>
      <family val="2"/>
    </font>
    <font>
      <b/>
      <sz val="10"/>
      <color rgb="FFC00000"/>
      <name val="Calibri"/>
      <family val="2"/>
    </font>
    <font>
      <b/>
      <sz val="9"/>
      <name val="Calibri"/>
      <family val="2"/>
    </font>
    <font>
      <sz val="9"/>
      <name val="Calibri"/>
      <family val="2"/>
    </font>
    <font>
      <sz val="9"/>
      <color indexed="10"/>
      <name val="Calibri"/>
      <family val="2"/>
      <scheme val="minor"/>
    </font>
    <font>
      <sz val="9"/>
      <name val="Calibri"/>
      <family val="2"/>
      <scheme val="minor"/>
    </font>
    <font>
      <b/>
      <sz val="9"/>
      <color indexed="81"/>
      <name val="Tahoma"/>
      <family val="2"/>
    </font>
    <font>
      <i/>
      <sz val="11"/>
      <name val="Calibri"/>
      <family val="2"/>
    </font>
    <font>
      <b/>
      <sz val="9"/>
      <name val="Calibri"/>
      <family val="2"/>
      <scheme val="minor"/>
    </font>
    <font>
      <i/>
      <sz val="9"/>
      <name val="Calibri"/>
      <family val="2"/>
      <scheme val="minor"/>
    </font>
    <font>
      <b/>
      <i/>
      <sz val="9"/>
      <name val="Calibri"/>
      <family val="2"/>
      <scheme val="minor"/>
    </font>
    <font>
      <u/>
      <sz val="9"/>
      <color indexed="12"/>
      <name val="Arial"/>
      <family val="2"/>
    </font>
    <font>
      <u/>
      <sz val="9"/>
      <color indexed="12"/>
      <name val="Calibri"/>
      <family val="2"/>
      <scheme val="minor"/>
    </font>
    <font>
      <sz val="9"/>
      <color indexed="55"/>
      <name val="Calibri"/>
      <family val="2"/>
      <scheme val="minor"/>
    </font>
    <font>
      <sz val="9"/>
      <name val="Arial"/>
      <family val="2"/>
    </font>
    <font>
      <b/>
      <sz val="9"/>
      <color rgb="FFFF0000"/>
      <name val="Calibri"/>
      <family val="2"/>
      <scheme val="minor"/>
    </font>
    <font>
      <b/>
      <sz val="9"/>
      <color indexed="10"/>
      <name val="Calibri"/>
      <family val="2"/>
      <scheme val="minor"/>
    </font>
    <font>
      <sz val="9"/>
      <color rgb="FFFF0000"/>
      <name val="Calibri"/>
      <family val="2"/>
      <scheme val="minor"/>
    </font>
    <font>
      <sz val="12"/>
      <color rgb="FFC00000"/>
      <name val="Calibri"/>
      <family val="2"/>
    </font>
    <font>
      <b/>
      <sz val="11"/>
      <color theme="1"/>
      <name val="Calibri"/>
      <family val="2"/>
      <scheme val="minor"/>
    </font>
    <font>
      <sz val="10"/>
      <color rgb="FF000000"/>
      <name val="Calibri"/>
      <family val="2"/>
    </font>
    <font>
      <sz val="9"/>
      <color rgb="FF0000FF"/>
      <name val="Calibri"/>
      <family val="2"/>
      <scheme val="minor"/>
    </font>
    <font>
      <b/>
      <sz val="9"/>
      <color rgb="FFC00000"/>
      <name val="Calibri"/>
      <family val="2"/>
      <scheme val="minor"/>
    </font>
    <font>
      <b/>
      <sz val="9"/>
      <color indexed="8"/>
      <name val="Calibri"/>
      <family val="2"/>
      <scheme val="minor"/>
    </font>
    <font>
      <sz val="9"/>
      <color theme="1"/>
      <name val="Calibri"/>
      <family val="2"/>
      <scheme val="minor"/>
    </font>
    <font>
      <sz val="9"/>
      <color rgb="FFFFFF99"/>
      <name val="Calibri"/>
      <family val="2"/>
      <scheme val="minor"/>
    </font>
    <font>
      <sz val="9"/>
      <color rgb="FFC00000"/>
      <name val="Arial"/>
      <family val="2"/>
    </font>
    <font>
      <i/>
      <sz val="9"/>
      <color theme="0" tint="-0.249977111117893"/>
      <name val="Calibri"/>
      <family val="2"/>
      <scheme val="minor"/>
    </font>
    <font>
      <i/>
      <sz val="9"/>
      <color theme="0" tint="-0.499984740745262"/>
      <name val="Calibri"/>
      <family val="2"/>
      <scheme val="minor"/>
    </font>
    <font>
      <sz val="9"/>
      <color theme="0" tint="-0.499984740745262"/>
      <name val="Calibri"/>
      <family val="2"/>
      <scheme val="minor"/>
    </font>
    <font>
      <sz val="9"/>
      <color rgb="FF0070C0"/>
      <name val="Calibri"/>
      <family val="2"/>
      <scheme val="minor"/>
    </font>
    <font>
      <sz val="9"/>
      <color rgb="FF002060"/>
      <name val="Calibri"/>
      <family val="2"/>
      <scheme val="minor"/>
    </font>
    <font>
      <sz val="9"/>
      <color rgb="FFC00000"/>
      <name val="Calibri"/>
      <family val="2"/>
    </font>
    <font>
      <sz val="9"/>
      <color indexed="8"/>
      <name val="Calibri"/>
      <family val="2"/>
    </font>
    <font>
      <sz val="9"/>
      <color theme="0" tint="-4.9989318521683403E-2"/>
      <name val="Calibri"/>
      <family val="2"/>
    </font>
    <font>
      <b/>
      <sz val="9"/>
      <color theme="1" tint="0.34998626667073579"/>
      <name val="Calibri"/>
      <family val="2"/>
    </font>
    <font>
      <sz val="9"/>
      <color indexed="22"/>
      <name val="Calibri"/>
      <family val="2"/>
    </font>
    <font>
      <i/>
      <sz val="9"/>
      <color theme="0" tint="-4.9989318521683403E-2"/>
      <name val="Calibri"/>
      <family val="2"/>
    </font>
    <font>
      <i/>
      <sz val="9"/>
      <color theme="0" tint="-0.14999847407452621"/>
      <name val="Calibri"/>
      <family val="2"/>
    </font>
    <font>
      <i/>
      <sz val="9"/>
      <name val="Calibri"/>
      <family val="2"/>
    </font>
    <font>
      <i/>
      <u/>
      <sz val="9"/>
      <name val="Calibri"/>
      <family val="2"/>
    </font>
    <font>
      <b/>
      <i/>
      <sz val="9"/>
      <color theme="0" tint="-4.9989318521683403E-2"/>
      <name val="Calibri"/>
      <family val="2"/>
    </font>
    <font>
      <i/>
      <sz val="9"/>
      <color theme="0" tint="-0.249977111117893"/>
      <name val="Calibri"/>
      <family val="2"/>
    </font>
    <font>
      <sz val="9"/>
      <color theme="0" tint="-0.14999847407452621"/>
      <name val="Calibri"/>
      <family val="2"/>
    </font>
    <font>
      <i/>
      <sz val="9"/>
      <color theme="1" tint="0.34998626667073579"/>
      <name val="Calibri"/>
      <family val="2"/>
    </font>
    <font>
      <sz val="9"/>
      <color rgb="FFFF0000"/>
      <name val="Calibri"/>
      <family val="2"/>
    </font>
    <font>
      <sz val="9"/>
      <color rgb="FF7030A0"/>
      <name val="Calibri"/>
      <family val="2"/>
    </font>
    <font>
      <b/>
      <i/>
      <sz val="9"/>
      <name val="Calibri"/>
      <family val="2"/>
    </font>
    <font>
      <i/>
      <sz val="9"/>
      <name val="Arial"/>
      <family val="2"/>
    </font>
    <font>
      <sz val="9"/>
      <color theme="0" tint="-0.249977111117893"/>
      <name val="Calibri"/>
      <family val="2"/>
    </font>
    <font>
      <i/>
      <vertAlign val="superscript"/>
      <sz val="9"/>
      <name val="Calibri"/>
      <family val="2"/>
    </font>
    <font>
      <sz val="9"/>
      <color indexed="9"/>
      <name val="Calibri"/>
      <family val="2"/>
    </font>
    <font>
      <sz val="9"/>
      <color theme="0" tint="-0.249977111117893"/>
      <name val="Calibri"/>
      <family val="2"/>
      <scheme val="minor"/>
    </font>
    <font>
      <sz val="9"/>
      <color theme="0" tint="-0.34998626667073579"/>
      <name val="Calibri"/>
      <family val="2"/>
    </font>
    <font>
      <b/>
      <sz val="9"/>
      <color indexed="8"/>
      <name val="Calibri"/>
      <family val="2"/>
    </font>
    <font>
      <b/>
      <sz val="10"/>
      <color rgb="FFC00000"/>
      <name val="Calibri"/>
      <family val="2"/>
      <scheme val="minor"/>
    </font>
    <font>
      <sz val="14"/>
      <color rgb="FFC00000"/>
      <name val="Calibri"/>
      <family val="2"/>
      <scheme val="minor"/>
    </font>
    <font>
      <b/>
      <sz val="11"/>
      <color rgb="FFFF0000"/>
      <name val="Calibri"/>
      <family val="2"/>
      <scheme val="minor"/>
    </font>
    <font>
      <b/>
      <sz val="10"/>
      <color rgb="FFFF0000"/>
      <name val="Calibri"/>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66"/>
        <bgColor indexed="64"/>
      </patternFill>
    </fill>
  </fills>
  <borders count="17">
    <border>
      <left/>
      <right/>
      <top/>
      <bottom/>
      <diagonal/>
    </border>
    <border>
      <left style="thin">
        <color indexed="64"/>
      </left>
      <right/>
      <top/>
      <bottom/>
      <diagonal/>
    </border>
    <border>
      <left/>
      <right style="thin">
        <color indexed="64"/>
      </right>
      <top/>
      <bottom/>
      <diagonal/>
    </border>
    <border>
      <left/>
      <right/>
      <top/>
      <bottom style="thin">
        <color theme="0"/>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style="thin">
        <color indexed="64"/>
      </top>
      <bottom style="thin">
        <color indexed="64"/>
      </bottom>
      <diagonal/>
    </border>
    <border>
      <left/>
      <right style="thin">
        <color theme="0" tint="-4.9989318521683403E-2"/>
      </right>
      <top style="thin">
        <color theme="0" tint="-4.9989318521683403E-2"/>
      </top>
      <bottom style="thin">
        <color theme="0" tint="-4.9989318521683403E-2"/>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xf numFmtId="0" fontId="1" fillId="0" borderId="0"/>
  </cellStyleXfs>
  <cellXfs count="311">
    <xf numFmtId="0" fontId="0" fillId="0" borderId="0" xfId="0"/>
    <xf numFmtId="0" fontId="6" fillId="5" borderId="0" xfId="0" applyFont="1" applyFill="1"/>
    <xf numFmtId="0" fontId="8" fillId="5" borderId="0" xfId="0" applyFont="1" applyFill="1"/>
    <xf numFmtId="0" fontId="7" fillId="5" borderId="0" xfId="0" applyFont="1" applyFill="1"/>
    <xf numFmtId="0" fontId="10" fillId="5" borderId="0" xfId="0" applyFont="1" applyFill="1"/>
    <xf numFmtId="0" fontId="12" fillId="5" borderId="0" xfId="0" applyFont="1" applyFill="1"/>
    <xf numFmtId="0" fontId="16" fillId="5" borderId="0" xfId="0" applyFont="1" applyFill="1"/>
    <xf numFmtId="0" fontId="12" fillId="5" borderId="0" xfId="0" applyFont="1" applyFill="1" applyAlignment="1">
      <alignment horizontal="right"/>
    </xf>
    <xf numFmtId="0" fontId="22" fillId="5" borderId="0" xfId="0" applyFont="1" applyFill="1" applyAlignment="1">
      <alignment horizontal="left"/>
    </xf>
    <xf numFmtId="0" fontId="14" fillId="5" borderId="0" xfId="0" applyFont="1" applyFill="1"/>
    <xf numFmtId="10" fontId="6" fillId="5" borderId="0" xfId="0" applyNumberFormat="1" applyFont="1" applyFill="1" applyAlignment="1">
      <alignment horizontal="left"/>
    </xf>
    <xf numFmtId="0" fontId="6" fillId="5" borderId="3" xfId="0" applyFont="1" applyFill="1" applyBorder="1"/>
    <xf numFmtId="164" fontId="6" fillId="5" borderId="0" xfId="0" applyNumberFormat="1" applyFont="1" applyFill="1"/>
    <xf numFmtId="0" fontId="2" fillId="5" borderId="0" xfId="1" applyFill="1" applyAlignment="1" applyProtection="1"/>
    <xf numFmtId="0" fontId="15" fillId="5" borderId="0" xfId="1" applyFont="1" applyFill="1" applyAlignment="1" applyProtection="1"/>
    <xf numFmtId="0" fontId="12" fillId="5" borderId="7" xfId="0" applyFont="1" applyFill="1" applyBorder="1"/>
    <xf numFmtId="0" fontId="12" fillId="5" borderId="8" xfId="0" applyFont="1" applyFill="1" applyBorder="1"/>
    <xf numFmtId="0" fontId="13" fillId="5" borderId="8" xfId="0" applyFont="1" applyFill="1" applyBorder="1"/>
    <xf numFmtId="0" fontId="6" fillId="5" borderId="7" xfId="0" applyFont="1" applyFill="1" applyBorder="1"/>
    <xf numFmtId="0" fontId="6" fillId="5" borderId="8" xfId="0" applyFont="1" applyFill="1" applyBorder="1"/>
    <xf numFmtId="0" fontId="19" fillId="5" borderId="0" xfId="0" applyFont="1" applyFill="1"/>
    <xf numFmtId="0" fontId="7" fillId="5" borderId="7" xfId="0" applyFont="1" applyFill="1" applyBorder="1" applyAlignment="1">
      <alignment horizontal="right"/>
    </xf>
    <xf numFmtId="0" fontId="9" fillId="5" borderId="8" xfId="0" applyFont="1" applyFill="1" applyBorder="1" applyAlignment="1">
      <alignment horizontal="right"/>
    </xf>
    <xf numFmtId="0" fontId="6" fillId="5" borderId="9" xfId="0" applyFont="1" applyFill="1" applyBorder="1"/>
    <xf numFmtId="0" fontId="7" fillId="5" borderId="10" xfId="0" applyFont="1" applyFill="1" applyBorder="1"/>
    <xf numFmtId="0" fontId="6" fillId="5" borderId="10" xfId="0" applyFont="1" applyFill="1" applyBorder="1"/>
    <xf numFmtId="0" fontId="20" fillId="5" borderId="10" xfId="1" applyFont="1" applyFill="1" applyBorder="1" applyAlignment="1" applyProtection="1"/>
    <xf numFmtId="0" fontId="5" fillId="7" borderId="0" xfId="0" applyFont="1" applyFill="1" applyAlignment="1">
      <alignment vertical="top"/>
    </xf>
    <xf numFmtId="0" fontId="5" fillId="7" borderId="0" xfId="0" applyFont="1" applyFill="1" applyAlignment="1">
      <alignment horizontal="center"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2" borderId="5" xfId="0" applyFont="1" applyFill="1" applyBorder="1" applyAlignment="1">
      <alignment horizontal="center" vertical="top"/>
    </xf>
    <xf numFmtId="0" fontId="5" fillId="2" borderId="6" xfId="0" applyFont="1" applyFill="1" applyBorder="1" applyAlignment="1">
      <alignment vertical="top"/>
    </xf>
    <xf numFmtId="0" fontId="5" fillId="3" borderId="0" xfId="0" applyFont="1" applyFill="1" applyAlignment="1">
      <alignment vertical="top"/>
    </xf>
    <xf numFmtId="0" fontId="5" fillId="2" borderId="7"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horizontal="center" vertical="top"/>
    </xf>
    <xf numFmtId="0" fontId="18" fillId="7" borderId="0" xfId="0" applyFont="1" applyFill="1" applyAlignment="1">
      <alignment vertical="top"/>
    </xf>
    <xf numFmtId="0" fontId="18" fillId="2" borderId="7" xfId="0" applyFont="1" applyFill="1" applyBorder="1" applyAlignment="1">
      <alignment vertical="top"/>
    </xf>
    <xf numFmtId="0" fontId="23" fillId="2" borderId="0" xfId="0" applyFont="1" applyFill="1" applyAlignment="1">
      <alignment vertical="top"/>
    </xf>
    <xf numFmtId="0" fontId="18" fillId="2" borderId="0" xfId="0" applyFont="1" applyFill="1" applyAlignment="1">
      <alignment vertical="top"/>
    </xf>
    <xf numFmtId="0" fontId="18" fillId="2" borderId="0" xfId="0" applyFont="1" applyFill="1" applyAlignment="1">
      <alignment horizontal="center" vertical="top"/>
    </xf>
    <xf numFmtId="0" fontId="18" fillId="3" borderId="0" xfId="0" applyFont="1" applyFill="1" applyAlignment="1">
      <alignment vertical="top"/>
    </xf>
    <xf numFmtId="0" fontId="17" fillId="7" borderId="0" xfId="0" applyFont="1" applyFill="1" applyAlignment="1">
      <alignment vertical="top"/>
    </xf>
    <xf numFmtId="0" fontId="17" fillId="2" borderId="7" xfId="0" applyFont="1" applyFill="1" applyBorder="1" applyAlignment="1">
      <alignment vertical="top"/>
    </xf>
    <xf numFmtId="0" fontId="17" fillId="2" borderId="0" xfId="0" applyFont="1" applyFill="1" applyAlignment="1">
      <alignment vertical="top"/>
    </xf>
    <xf numFmtId="0" fontId="17" fillId="2" borderId="0" xfId="0" applyFont="1" applyFill="1" applyAlignment="1">
      <alignment horizontal="center" vertical="top"/>
    </xf>
    <xf numFmtId="14" fontId="17" fillId="2" borderId="0" xfId="0" applyNumberFormat="1" applyFont="1" applyFill="1" applyAlignment="1">
      <alignment horizontal="center" vertical="top"/>
    </xf>
    <xf numFmtId="0" fontId="17" fillId="3" borderId="0" xfId="0" applyFont="1" applyFill="1" applyAlignment="1">
      <alignment vertical="top"/>
    </xf>
    <xf numFmtId="14" fontId="5" fillId="2" borderId="0" xfId="0" applyNumberFormat="1" applyFont="1" applyFill="1" applyAlignment="1">
      <alignment horizontal="center" vertical="top"/>
    </xf>
    <xf numFmtId="0" fontId="25" fillId="7" borderId="0" xfId="0" applyFont="1" applyFill="1" applyAlignment="1">
      <alignment vertical="top"/>
    </xf>
    <xf numFmtId="0" fontId="5" fillId="3" borderId="0" xfId="0" applyFont="1" applyFill="1" applyAlignment="1">
      <alignment horizontal="center" vertical="top"/>
    </xf>
    <xf numFmtId="49" fontId="24" fillId="7" borderId="0" xfId="0" applyNumberFormat="1" applyFont="1" applyFill="1" applyAlignment="1">
      <alignment horizontal="left" vertical="center"/>
    </xf>
    <xf numFmtId="0" fontId="24" fillId="7" borderId="0" xfId="0" applyFont="1" applyFill="1" applyAlignment="1">
      <alignment horizontal="left"/>
    </xf>
    <xf numFmtId="0" fontId="24" fillId="7" borderId="0" xfId="0" applyFont="1" applyFill="1" applyAlignment="1">
      <alignment horizontal="left" vertical="center"/>
    </xf>
    <xf numFmtId="0" fontId="30" fillId="0" borderId="0" xfId="0" applyFont="1" applyAlignment="1">
      <alignment horizontal="left"/>
    </xf>
    <xf numFmtId="0" fontId="33" fillId="4" borderId="0" xfId="0" applyFont="1" applyFill="1" applyAlignment="1">
      <alignment horizontal="left"/>
    </xf>
    <xf numFmtId="0" fontId="30" fillId="4" borderId="0" xfId="0" applyFont="1" applyFill="1" applyAlignment="1">
      <alignment horizontal="left"/>
    </xf>
    <xf numFmtId="14" fontId="28" fillId="0" borderId="0" xfId="0" applyNumberFormat="1" applyFont="1"/>
    <xf numFmtId="0" fontId="34" fillId="0" borderId="0" xfId="0" applyFont="1" applyAlignment="1">
      <alignment horizontal="center"/>
    </xf>
    <xf numFmtId="0" fontId="33" fillId="0" borderId="0" xfId="0" applyFont="1" applyAlignment="1">
      <alignment horizontal="left"/>
    </xf>
    <xf numFmtId="0" fontId="35" fillId="0" borderId="0" xfId="0" applyFont="1" applyAlignment="1">
      <alignment horizontal="left"/>
    </xf>
    <xf numFmtId="0" fontId="30" fillId="8" borderId="0" xfId="0" applyFont="1" applyFill="1" applyAlignment="1">
      <alignment horizontal="left"/>
    </xf>
    <xf numFmtId="10" fontId="30" fillId="4" borderId="0" xfId="0" applyNumberFormat="1" applyFont="1" applyFill="1" applyAlignment="1">
      <alignment horizontal="left"/>
    </xf>
    <xf numFmtId="167" fontId="30" fillId="4" borderId="0" xfId="0" applyNumberFormat="1" applyFont="1" applyFill="1" applyAlignment="1">
      <alignment horizontal="left"/>
    </xf>
    <xf numFmtId="3" fontId="30" fillId="0" borderId="0" xfId="0" applyNumberFormat="1" applyFont="1" applyAlignment="1">
      <alignment horizontal="left"/>
    </xf>
    <xf numFmtId="0" fontId="30" fillId="11" borderId="0" xfId="0" applyFont="1" applyFill="1" applyAlignment="1">
      <alignment horizontal="left"/>
    </xf>
    <xf numFmtId="10" fontId="30" fillId="6" borderId="0" xfId="0" applyNumberFormat="1" applyFont="1" applyFill="1" applyAlignment="1">
      <alignment horizontal="left"/>
    </xf>
    <xf numFmtId="9" fontId="30" fillId="0" borderId="0" xfId="0" applyNumberFormat="1" applyFont="1" applyAlignment="1">
      <alignment horizontal="left"/>
    </xf>
    <xf numFmtId="10" fontId="30" fillId="0" borderId="0" xfId="0" applyNumberFormat="1" applyFont="1" applyAlignment="1">
      <alignment horizontal="left"/>
    </xf>
    <xf numFmtId="0" fontId="37" fillId="0" borderId="0" xfId="1" applyFont="1" applyAlignment="1" applyProtection="1">
      <alignment horizontal="left"/>
    </xf>
    <xf numFmtId="10" fontId="36" fillId="0" borderId="0" xfId="1" applyNumberFormat="1" applyFont="1" applyAlignment="1" applyProtection="1">
      <alignment horizontal="left"/>
    </xf>
    <xf numFmtId="49" fontId="30" fillId="0" borderId="0" xfId="0" applyNumberFormat="1" applyFont="1" applyAlignment="1">
      <alignment horizontal="center"/>
    </xf>
    <xf numFmtId="3" fontId="37" fillId="0" borderId="0" xfId="1" applyNumberFormat="1" applyFont="1" applyAlignment="1" applyProtection="1">
      <alignment horizontal="left"/>
    </xf>
    <xf numFmtId="0" fontId="30" fillId="10" borderId="0" xfId="0" applyFont="1" applyFill="1" applyAlignment="1">
      <alignment horizontal="left"/>
    </xf>
    <xf numFmtId="0" fontId="38" fillId="0" borderId="0" xfId="0" applyFont="1" applyAlignment="1">
      <alignment horizontal="left"/>
    </xf>
    <xf numFmtId="2" fontId="30" fillId="0" borderId="0" xfId="0" applyNumberFormat="1" applyFont="1" applyAlignment="1">
      <alignment horizontal="left"/>
    </xf>
    <xf numFmtId="2" fontId="30" fillId="6" borderId="0" xfId="0" applyNumberFormat="1" applyFont="1" applyFill="1" applyAlignment="1">
      <alignment horizontal="left"/>
    </xf>
    <xf numFmtId="0" fontId="39" fillId="0" borderId="0" xfId="0" applyFont="1"/>
    <xf numFmtId="9" fontId="30" fillId="6" borderId="0" xfId="0" applyNumberFormat="1" applyFont="1" applyFill="1" applyAlignment="1">
      <alignment horizontal="left"/>
    </xf>
    <xf numFmtId="0" fontId="27" fillId="0" borderId="0" xfId="0" applyFont="1" applyAlignment="1">
      <alignment horizontal="left"/>
    </xf>
    <xf numFmtId="168" fontId="28" fillId="6" borderId="0" xfId="0" applyNumberFormat="1" applyFont="1" applyFill="1" applyAlignment="1">
      <alignment horizontal="center"/>
    </xf>
    <xf numFmtId="9" fontId="28" fillId="0" borderId="0" xfId="0" applyNumberFormat="1" applyFont="1" applyAlignment="1">
      <alignment horizontal="center"/>
    </xf>
    <xf numFmtId="0" fontId="40" fillId="0" borderId="0" xfId="0" applyFont="1" applyAlignment="1">
      <alignment horizontal="left"/>
    </xf>
    <xf numFmtId="44" fontId="40" fillId="0" borderId="0" xfId="0" applyNumberFormat="1" applyFont="1" applyAlignment="1">
      <alignment horizontal="left"/>
    </xf>
    <xf numFmtId="0" fontId="29" fillId="0" borderId="0" xfId="0" applyFont="1" applyAlignment="1">
      <alignment horizontal="left"/>
    </xf>
    <xf numFmtId="0" fontId="41" fillId="0" borderId="0" xfId="0" applyFont="1" applyAlignment="1">
      <alignment horizontal="left"/>
    </xf>
    <xf numFmtId="3" fontId="34" fillId="0" borderId="0" xfId="0" applyNumberFormat="1" applyFont="1" applyAlignment="1">
      <alignment horizontal="center"/>
    </xf>
    <xf numFmtId="172" fontId="43" fillId="5" borderId="0" xfId="0" applyNumberFormat="1" applyFont="1" applyFill="1" applyAlignment="1">
      <alignment horizontal="center"/>
    </xf>
    <xf numFmtId="10" fontId="26" fillId="5" borderId="0" xfId="0" applyNumberFormat="1" applyFont="1" applyFill="1" applyAlignment="1">
      <alignment horizontal="left"/>
    </xf>
    <xf numFmtId="10" fontId="26" fillId="5" borderId="0" xfId="0" applyNumberFormat="1" applyFont="1" applyFill="1"/>
    <xf numFmtId="1" fontId="0" fillId="0" borderId="13" xfId="0" applyNumberFormat="1" applyBorder="1"/>
    <xf numFmtId="0" fontId="0" fillId="0" borderId="13" xfId="0" applyBorder="1"/>
    <xf numFmtId="2" fontId="0" fillId="0" borderId="13" xfId="0" applyNumberFormat="1" applyBorder="1"/>
    <xf numFmtId="1" fontId="0" fillId="0" borderId="0" xfId="0" applyNumberFormat="1"/>
    <xf numFmtId="2" fontId="0" fillId="0" borderId="0" xfId="0" applyNumberFormat="1"/>
    <xf numFmtId="0" fontId="44" fillId="0" borderId="0" xfId="0" applyFont="1"/>
    <xf numFmtId="10" fontId="0" fillId="0" borderId="0" xfId="2" applyNumberFormat="1" applyFont="1"/>
    <xf numFmtId="2" fontId="44" fillId="0" borderId="0" xfId="0" applyNumberFormat="1" applyFont="1"/>
    <xf numFmtId="0" fontId="42" fillId="0" borderId="0" xfId="0" applyFont="1" applyAlignment="1">
      <alignment horizontal="left"/>
    </xf>
    <xf numFmtId="0" fontId="39" fillId="0" borderId="0" xfId="1" applyFont="1" applyAlignment="1" applyProtection="1">
      <alignment horizontal="left"/>
    </xf>
    <xf numFmtId="0" fontId="45" fillId="0" borderId="0" xfId="0" applyFont="1" applyAlignment="1">
      <alignment horizontal="left" vertical="center" readingOrder="1"/>
    </xf>
    <xf numFmtId="0" fontId="46" fillId="0" borderId="0" xfId="0" applyFont="1" applyAlignment="1">
      <alignment horizontal="left"/>
    </xf>
    <xf numFmtId="0" fontId="47" fillId="0" borderId="0" xfId="4" applyFont="1" applyAlignment="1">
      <alignment horizontal="left" vertical="center"/>
    </xf>
    <xf numFmtId="171" fontId="48" fillId="0" borderId="0" xfId="4" applyNumberFormat="1" applyFont="1"/>
    <xf numFmtId="0" fontId="49" fillId="0" borderId="0" xfId="4" applyFont="1"/>
    <xf numFmtId="10" fontId="33" fillId="0" borderId="0" xfId="4" applyNumberFormat="1" applyFont="1" applyAlignment="1">
      <alignment horizontal="center" vertical="center"/>
    </xf>
    <xf numFmtId="0" fontId="30" fillId="0" borderId="0" xfId="4" applyFont="1" applyAlignment="1">
      <alignment horizontal="center" vertical="center"/>
    </xf>
    <xf numFmtId="0" fontId="30" fillId="0" borderId="0" xfId="4" applyFont="1" applyAlignment="1">
      <alignment horizontal="left" vertical="center"/>
    </xf>
    <xf numFmtId="0" fontId="33" fillId="0" borderId="0" xfId="4" applyFont="1" applyAlignment="1">
      <alignment horizontal="left" vertical="center"/>
    </xf>
    <xf numFmtId="1" fontId="33" fillId="0" borderId="0" xfId="4" applyNumberFormat="1" applyFont="1" applyAlignment="1">
      <alignment horizontal="center" vertical="center"/>
    </xf>
    <xf numFmtId="1" fontId="33" fillId="0" borderId="0" xfId="4" applyNumberFormat="1" applyFont="1" applyAlignment="1">
      <alignment horizontal="left" vertical="center"/>
    </xf>
    <xf numFmtId="0" fontId="30" fillId="0" borderId="0" xfId="4" applyFont="1" applyAlignment="1">
      <alignment horizontal="left"/>
    </xf>
    <xf numFmtId="3" fontId="30" fillId="6" borderId="0" xfId="4" applyNumberFormat="1" applyFont="1" applyFill="1" applyAlignment="1">
      <alignment horizontal="center"/>
    </xf>
    <xf numFmtId="0" fontId="30" fillId="6" borderId="0" xfId="4" applyFont="1" applyFill="1" applyAlignment="1">
      <alignment horizontal="center"/>
    </xf>
    <xf numFmtId="0" fontId="30" fillId="0" borderId="0" xfId="4" applyFont="1" applyAlignment="1">
      <alignment horizontal="center"/>
    </xf>
    <xf numFmtId="49" fontId="30" fillId="0" borderId="0" xfId="4" applyNumberFormat="1" applyFont="1" applyAlignment="1">
      <alignment horizontal="left" vertical="center"/>
    </xf>
    <xf numFmtId="3" fontId="30" fillId="0" borderId="0" xfId="4" applyNumberFormat="1" applyFont="1" applyAlignment="1">
      <alignment horizontal="center"/>
    </xf>
    <xf numFmtId="3" fontId="42" fillId="6" borderId="0" xfId="4" applyNumberFormat="1" applyFont="1" applyFill="1" applyAlignment="1">
      <alignment horizontal="center"/>
    </xf>
    <xf numFmtId="3" fontId="50" fillId="6" borderId="0" xfId="4" applyNumberFormat="1" applyFont="1" applyFill="1" applyAlignment="1">
      <alignment horizontal="center"/>
    </xf>
    <xf numFmtId="3" fontId="33" fillId="6" borderId="0" xfId="4" applyNumberFormat="1" applyFont="1" applyFill="1" applyAlignment="1">
      <alignment horizontal="center"/>
    </xf>
    <xf numFmtId="0" fontId="51" fillId="0" borderId="0" xfId="1" applyFont="1" applyAlignment="1" applyProtection="1">
      <alignment horizontal="left"/>
    </xf>
    <xf numFmtId="0" fontId="2" fillId="0" borderId="0" xfId="1" applyAlignment="1" applyProtection="1">
      <alignment horizontal="left"/>
    </xf>
    <xf numFmtId="0" fontId="5" fillId="5" borderId="0" xfId="0" applyFont="1" applyFill="1" applyAlignment="1">
      <alignment vertical="top"/>
    </xf>
    <xf numFmtId="0" fontId="30" fillId="14" borderId="0" xfId="0" applyFont="1" applyFill="1"/>
    <xf numFmtId="0" fontId="52" fillId="0" borderId="0" xfId="0" applyFont="1" applyAlignment="1">
      <alignment horizontal="center"/>
    </xf>
    <xf numFmtId="49" fontId="24" fillId="5" borderId="0" xfId="0" applyNumberFormat="1" applyFont="1" applyFill="1" applyAlignment="1" applyProtection="1">
      <alignment horizontal="center" vertical="top"/>
      <protection locked="0"/>
    </xf>
    <xf numFmtId="0" fontId="30" fillId="14" borderId="0" xfId="0" applyFont="1" applyFill="1" applyAlignment="1">
      <alignment horizontal="center"/>
    </xf>
    <xf numFmtId="49" fontId="30" fillId="0" borderId="0" xfId="0" applyNumberFormat="1" applyFont="1" applyAlignment="1">
      <alignment horizontal="left"/>
    </xf>
    <xf numFmtId="49" fontId="30" fillId="5" borderId="0" xfId="0" applyNumberFormat="1" applyFont="1" applyFill="1" applyAlignment="1">
      <alignment horizontal="left"/>
    </xf>
    <xf numFmtId="173" fontId="30" fillId="0" borderId="0" xfId="3" applyNumberFormat="1" applyFont="1" applyAlignment="1" applyProtection="1">
      <alignment horizontal="right"/>
    </xf>
    <xf numFmtId="0" fontId="30" fillId="14" borderId="0" xfId="0" applyFont="1" applyFill="1" applyAlignment="1">
      <alignment horizontal="center" vertical="top"/>
    </xf>
    <xf numFmtId="0" fontId="30" fillId="14" borderId="0" xfId="0" applyFont="1" applyFill="1" applyAlignment="1">
      <alignment horizontal="center" vertical="top" wrapText="1"/>
    </xf>
    <xf numFmtId="10" fontId="53" fillId="14" borderId="0" xfId="2" applyNumberFormat="1" applyFont="1" applyFill="1"/>
    <xf numFmtId="10" fontId="53" fillId="14" borderId="0" xfId="2" applyNumberFormat="1" applyFont="1" applyFill="1" applyAlignment="1">
      <alignment horizontal="center"/>
    </xf>
    <xf numFmtId="10" fontId="53" fillId="14" borderId="0" xfId="0" applyNumberFormat="1" applyFont="1" applyFill="1"/>
    <xf numFmtId="0" fontId="55" fillId="14" borderId="0" xfId="0" applyFont="1" applyFill="1"/>
    <xf numFmtId="0" fontId="55" fillId="14" borderId="0" xfId="0" applyFont="1" applyFill="1" applyAlignment="1">
      <alignment horizontal="center"/>
    </xf>
    <xf numFmtId="0" fontId="30" fillId="15" borderId="0" xfId="0" applyFont="1" applyFill="1"/>
    <xf numFmtId="0" fontId="54" fillId="14" borderId="0" xfId="0" applyFont="1" applyFill="1"/>
    <xf numFmtId="0" fontId="54" fillId="14" borderId="0" xfId="0" applyFont="1" applyFill="1" applyAlignment="1">
      <alignment horizontal="center" vertical="top" wrapText="1"/>
    </xf>
    <xf numFmtId="173" fontId="54" fillId="14" borderId="0" xfId="0" applyNumberFormat="1" applyFont="1" applyFill="1"/>
    <xf numFmtId="173" fontId="54" fillId="14" borderId="12" xfId="3" applyNumberFormat="1" applyFont="1" applyFill="1" applyBorder="1" applyAlignment="1" applyProtection="1">
      <alignment horizontal="right"/>
    </xf>
    <xf numFmtId="166" fontId="30" fillId="14" borderId="15" xfId="0" applyNumberFormat="1" applyFont="1" applyFill="1" applyBorder="1" applyAlignment="1">
      <alignment horizontal="center"/>
    </xf>
    <xf numFmtId="0" fontId="33" fillId="14" borderId="0" xfId="0" applyFont="1" applyFill="1"/>
    <xf numFmtId="168" fontId="33" fillId="14" borderId="0" xfId="2" applyNumberFormat="1" applyFont="1" applyFill="1"/>
    <xf numFmtId="174" fontId="55" fillId="14" borderId="0" xfId="0" applyNumberFormat="1" applyFont="1" applyFill="1"/>
    <xf numFmtId="174" fontId="30" fillId="14" borderId="0" xfId="0" applyNumberFormat="1" applyFont="1" applyFill="1"/>
    <xf numFmtId="174" fontId="33" fillId="14" borderId="0" xfId="0" applyNumberFormat="1" applyFont="1" applyFill="1"/>
    <xf numFmtId="173" fontId="30" fillId="6" borderId="0" xfId="3" applyNumberFormat="1" applyFont="1" applyFill="1" applyAlignment="1" applyProtection="1">
      <alignment horizontal="right"/>
    </xf>
    <xf numFmtId="173" fontId="30" fillId="4" borderId="0" xfId="3" applyNumberFormat="1" applyFont="1" applyFill="1" applyAlignment="1" applyProtection="1">
      <alignment horizontal="right"/>
    </xf>
    <xf numFmtId="173" fontId="30" fillId="0" borderId="0" xfId="0" applyNumberFormat="1" applyFont="1" applyAlignment="1">
      <alignment horizontal="right"/>
    </xf>
    <xf numFmtId="10" fontId="30" fillId="4" borderId="0" xfId="0" applyNumberFormat="1" applyFont="1" applyFill="1" applyAlignment="1">
      <alignment horizontal="center"/>
    </xf>
    <xf numFmtId="9" fontId="30" fillId="5" borderId="0" xfId="2" applyFont="1" applyFill="1" applyProtection="1">
      <protection locked="0"/>
    </xf>
    <xf numFmtId="0" fontId="6" fillId="5" borderId="4" xfId="0" applyFont="1" applyFill="1" applyBorder="1"/>
    <xf numFmtId="0" fontId="6" fillId="5" borderId="5" xfId="0" applyFont="1" applyFill="1" applyBorder="1"/>
    <xf numFmtId="0" fontId="6" fillId="5" borderId="6" xfId="0" applyFont="1" applyFill="1" applyBorder="1"/>
    <xf numFmtId="0" fontId="7" fillId="5" borderId="0" xfId="0" applyFont="1" applyFill="1" applyAlignment="1">
      <alignment horizontal="right"/>
    </xf>
    <xf numFmtId="0" fontId="6" fillId="5" borderId="2" xfId="0" applyFont="1" applyFill="1" applyBorder="1"/>
    <xf numFmtId="0" fontId="6" fillId="5" borderId="1" xfId="0" applyFont="1" applyFill="1" applyBorder="1"/>
    <xf numFmtId="0" fontId="6" fillId="5" borderId="11" xfId="0" applyFont="1" applyFill="1" applyBorder="1"/>
    <xf numFmtId="0" fontId="5" fillId="5" borderId="0" xfId="0" applyFont="1" applyFill="1" applyAlignment="1">
      <alignment horizontal="center" vertical="top"/>
    </xf>
    <xf numFmtId="0" fontId="5" fillId="5" borderId="8" xfId="0" applyFont="1" applyFill="1" applyBorder="1" applyAlignment="1">
      <alignment vertical="top"/>
    </xf>
    <xf numFmtId="0" fontId="28" fillId="7" borderId="0" xfId="0" applyFont="1" applyFill="1" applyAlignment="1">
      <alignment vertical="top"/>
    </xf>
    <xf numFmtId="0" fontId="28" fillId="2" borderId="7" xfId="0" applyFont="1" applyFill="1" applyBorder="1" applyAlignment="1">
      <alignment vertical="top"/>
    </xf>
    <xf numFmtId="0" fontId="28" fillId="13" borderId="0" xfId="0" applyFont="1" applyFill="1" applyAlignment="1">
      <alignment vertical="top"/>
    </xf>
    <xf numFmtId="0" fontId="58" fillId="13" borderId="0" xfId="0" applyFont="1" applyFill="1" applyAlignment="1">
      <alignment horizontal="center" vertical="top"/>
    </xf>
    <xf numFmtId="0" fontId="58" fillId="13" borderId="0" xfId="0" applyFont="1" applyFill="1" applyAlignment="1">
      <alignment vertical="top"/>
    </xf>
    <xf numFmtId="0" fontId="28" fillId="2" borderId="0" xfId="0" applyFont="1" applyFill="1" applyAlignment="1">
      <alignment vertical="top"/>
    </xf>
    <xf numFmtId="0" fontId="27" fillId="13" borderId="0" xfId="0" applyFont="1" applyFill="1" applyAlignment="1">
      <alignment vertical="top"/>
    </xf>
    <xf numFmtId="1" fontId="28" fillId="13" borderId="0" xfId="0" applyNumberFormat="1" applyFont="1" applyFill="1" applyAlignment="1">
      <alignment vertical="top"/>
    </xf>
    <xf numFmtId="0" fontId="59" fillId="13" borderId="0" xfId="0" applyFont="1" applyFill="1" applyAlignment="1">
      <alignment vertical="top"/>
    </xf>
    <xf numFmtId="0" fontId="59" fillId="13" borderId="0" xfId="0" applyFont="1" applyFill="1" applyAlignment="1">
      <alignment horizontal="center" vertical="top"/>
    </xf>
    <xf numFmtId="0" fontId="28" fillId="13" borderId="0" xfId="0" applyFont="1" applyFill="1" applyAlignment="1">
      <alignment horizontal="center" vertical="top"/>
    </xf>
    <xf numFmtId="0" fontId="28" fillId="2" borderId="8" xfId="0" applyFont="1" applyFill="1" applyBorder="1" applyAlignment="1">
      <alignment vertical="top"/>
    </xf>
    <xf numFmtId="0" fontId="28" fillId="3" borderId="0" xfId="0" applyFont="1" applyFill="1" applyAlignment="1">
      <alignment vertical="top"/>
    </xf>
    <xf numFmtId="168" fontId="27" fillId="9" borderId="0" xfId="2" applyNumberFormat="1" applyFont="1" applyFill="1" applyBorder="1" applyAlignment="1" applyProtection="1">
      <alignment horizontal="center" vertical="top"/>
    </xf>
    <xf numFmtId="0" fontId="60" fillId="13" borderId="0" xfId="0" applyFont="1" applyFill="1" applyAlignment="1">
      <alignment vertical="top"/>
    </xf>
    <xf numFmtId="0" fontId="61" fillId="13" borderId="0" xfId="0" applyFont="1" applyFill="1" applyAlignment="1">
      <alignment vertical="top"/>
    </xf>
    <xf numFmtId="0" fontId="62" fillId="13" borderId="0" xfId="0" applyFont="1" applyFill="1" applyAlignment="1">
      <alignment vertical="top"/>
    </xf>
    <xf numFmtId="0" fontId="58" fillId="5" borderId="0" xfId="0" applyFont="1" applyFill="1" applyAlignment="1">
      <alignment horizontal="center" vertical="top"/>
    </xf>
    <xf numFmtId="0" fontId="63" fillId="13" borderId="0" xfId="0" applyFont="1" applyFill="1" applyAlignment="1">
      <alignment vertical="top"/>
    </xf>
    <xf numFmtId="0" fontId="64" fillId="13" borderId="0" xfId="0" applyFont="1" applyFill="1" applyAlignment="1">
      <alignment vertical="top"/>
    </xf>
    <xf numFmtId="0" fontId="66" fillId="13" borderId="0" xfId="0" applyFont="1" applyFill="1" applyAlignment="1">
      <alignment vertical="top"/>
    </xf>
    <xf numFmtId="0" fontId="62" fillId="13" borderId="0" xfId="0" applyFont="1" applyFill="1" applyAlignment="1">
      <alignment horizontal="center" vertical="top"/>
    </xf>
    <xf numFmtId="0" fontId="27" fillId="2" borderId="7" xfId="0" applyFont="1" applyFill="1" applyBorder="1" applyAlignment="1">
      <alignment vertical="top"/>
    </xf>
    <xf numFmtId="14" fontId="58" fillId="5" borderId="0" xfId="0" applyNumberFormat="1" applyFont="1" applyFill="1" applyAlignment="1" applyProtection="1">
      <alignment horizontal="center" vertical="top"/>
      <protection locked="0"/>
    </xf>
    <xf numFmtId="0" fontId="64" fillId="13" borderId="0" xfId="0" applyFont="1" applyFill="1" applyAlignment="1">
      <alignment horizontal="center" vertical="top"/>
    </xf>
    <xf numFmtId="1" fontId="68" fillId="13" borderId="0" xfId="0" applyNumberFormat="1" applyFont="1" applyFill="1" applyAlignment="1">
      <alignment horizontal="center" vertical="top"/>
    </xf>
    <xf numFmtId="0" fontId="68" fillId="13" borderId="0" xfId="0" applyFont="1" applyFill="1" applyAlignment="1">
      <alignment vertical="top"/>
    </xf>
    <xf numFmtId="0" fontId="28" fillId="2" borderId="0" xfId="0" applyFont="1" applyFill="1" applyAlignment="1">
      <alignment horizontal="center" vertical="top"/>
    </xf>
    <xf numFmtId="0" fontId="28" fillId="5" borderId="0" xfId="0" applyFont="1" applyFill="1" applyAlignment="1">
      <alignment vertical="top"/>
    </xf>
    <xf numFmtId="0" fontId="28" fillId="5" borderId="0" xfId="0" applyFont="1" applyFill="1" applyAlignment="1">
      <alignment horizontal="center" vertical="top"/>
    </xf>
    <xf numFmtId="0" fontId="39" fillId="5" borderId="0" xfId="0" applyFont="1" applyFill="1"/>
    <xf numFmtId="0" fontId="58" fillId="5" borderId="0" xfId="0" applyFont="1" applyFill="1" applyAlignment="1" applyProtection="1">
      <alignment horizontal="center" vertical="top"/>
      <protection locked="0"/>
    </xf>
    <xf numFmtId="0" fontId="70" fillId="7" borderId="0" xfId="0" applyFont="1" applyFill="1" applyAlignment="1">
      <alignment vertical="top"/>
    </xf>
    <xf numFmtId="169" fontId="27" fillId="9" borderId="0" xfId="0" applyNumberFormat="1" applyFont="1" applyFill="1" applyAlignment="1">
      <alignment horizontal="center" vertical="top"/>
    </xf>
    <xf numFmtId="0" fontId="28" fillId="14" borderId="0" xfId="0" applyFont="1" applyFill="1" applyAlignment="1">
      <alignment vertical="top"/>
    </xf>
    <xf numFmtId="0" fontId="27" fillId="2" borderId="8" xfId="0" applyFont="1" applyFill="1" applyBorder="1" applyAlignment="1">
      <alignment vertical="top"/>
    </xf>
    <xf numFmtId="0" fontId="27" fillId="13" borderId="0" xfId="0" applyFont="1" applyFill="1" applyAlignment="1">
      <alignment horizontal="center" vertical="top"/>
    </xf>
    <xf numFmtId="0" fontId="39" fillId="5" borderId="2" xfId="0" applyFont="1" applyFill="1" applyBorder="1"/>
    <xf numFmtId="0" fontId="64" fillId="5" borderId="0" xfId="0" applyFont="1" applyFill="1" applyAlignment="1">
      <alignment vertical="center"/>
    </xf>
    <xf numFmtId="0" fontId="73" fillId="5" borderId="0" xfId="0" applyFont="1" applyFill="1"/>
    <xf numFmtId="0" fontId="39" fillId="5" borderId="0" xfId="1" applyFont="1" applyFill="1" applyBorder="1" applyAlignment="1" applyProtection="1">
      <alignment vertical="center"/>
    </xf>
    <xf numFmtId="0" fontId="36" fillId="7" borderId="0" xfId="1" applyFont="1" applyFill="1" applyProtection="1">
      <alignment vertical="top"/>
    </xf>
    <xf numFmtId="0" fontId="64" fillId="7" borderId="0" xfId="0" applyFont="1" applyFill="1" applyAlignment="1">
      <alignment vertical="top"/>
    </xf>
    <xf numFmtId="0" fontId="64" fillId="2" borderId="7" xfId="0" applyFont="1" applyFill="1" applyBorder="1" applyAlignment="1">
      <alignment vertical="top"/>
    </xf>
    <xf numFmtId="0" fontId="64" fillId="2" borderId="0" xfId="0" applyFont="1" applyFill="1" applyAlignment="1">
      <alignment vertical="top"/>
    </xf>
    <xf numFmtId="0" fontId="64" fillId="3" borderId="0" xfId="0" applyFont="1" applyFill="1" applyAlignment="1">
      <alignment vertical="top"/>
    </xf>
    <xf numFmtId="0" fontId="75" fillId="5" borderId="0" xfId="0" applyFont="1" applyFill="1" applyAlignment="1">
      <alignment vertical="center"/>
    </xf>
    <xf numFmtId="0" fontId="64" fillId="5" borderId="0" xfId="0" applyFont="1" applyFill="1"/>
    <xf numFmtId="0" fontId="28" fillId="5" borderId="8" xfId="0" applyFont="1" applyFill="1" applyBorder="1" applyAlignment="1">
      <alignment vertical="top"/>
    </xf>
    <xf numFmtId="0" fontId="67" fillId="5" borderId="0" xfId="0" applyFont="1" applyFill="1" applyAlignment="1">
      <alignment vertical="top"/>
    </xf>
    <xf numFmtId="0" fontId="67" fillId="5" borderId="0" xfId="0" applyFont="1" applyFill="1" applyAlignment="1">
      <alignment horizontal="center" vertical="top"/>
    </xf>
    <xf numFmtId="0" fontId="28" fillId="2" borderId="9" xfId="0" applyFont="1" applyFill="1" applyBorder="1" applyAlignment="1">
      <alignment vertical="top"/>
    </xf>
    <xf numFmtId="0" fontId="28" fillId="2" borderId="10" xfId="0" applyFont="1" applyFill="1" applyBorder="1" applyAlignment="1">
      <alignment vertical="top"/>
    </xf>
    <xf numFmtId="0" fontId="28" fillId="2" borderId="10" xfId="0" applyFont="1" applyFill="1" applyBorder="1" applyAlignment="1">
      <alignment horizontal="center" vertical="top"/>
    </xf>
    <xf numFmtId="164" fontId="28" fillId="2" borderId="10" xfId="0" applyNumberFormat="1" applyFont="1" applyFill="1" applyBorder="1" applyAlignment="1">
      <alignment horizontal="center" vertical="top"/>
    </xf>
    <xf numFmtId="0" fontId="76" fillId="2" borderId="10" xfId="0" applyFont="1" applyFill="1" applyBorder="1" applyAlignment="1">
      <alignment vertical="top"/>
    </xf>
    <xf numFmtId="0" fontId="28" fillId="2" borderId="11" xfId="0" applyFont="1" applyFill="1" applyBorder="1" applyAlignment="1">
      <alignment vertical="top"/>
    </xf>
    <xf numFmtId="0" fontId="28" fillId="7" borderId="0" xfId="0" applyFont="1" applyFill="1" applyAlignment="1">
      <alignment horizontal="center" vertical="top"/>
    </xf>
    <xf numFmtId="0" fontId="74" fillId="7" borderId="0" xfId="0" applyFont="1" applyFill="1" applyAlignment="1">
      <alignment vertical="top"/>
    </xf>
    <xf numFmtId="0" fontId="77" fillId="7" borderId="0" xfId="0" applyFont="1" applyFill="1" applyAlignment="1">
      <alignment horizontal="left"/>
    </xf>
    <xf numFmtId="0" fontId="78" fillId="7" borderId="0" xfId="0" applyFont="1" applyFill="1" applyAlignment="1">
      <alignment horizontal="center" vertical="top"/>
    </xf>
    <xf numFmtId="0" fontId="78" fillId="7" borderId="0" xfId="0" applyFont="1" applyFill="1" applyAlignment="1">
      <alignment vertical="top"/>
    </xf>
    <xf numFmtId="173" fontId="78" fillId="7" borderId="0" xfId="3" applyNumberFormat="1" applyFont="1" applyFill="1" applyBorder="1" applyAlignment="1" applyProtection="1">
      <alignment horizontal="center" vertical="top"/>
    </xf>
    <xf numFmtId="173" fontId="78" fillId="7" borderId="0" xfId="3" applyNumberFormat="1" applyFont="1" applyFill="1" applyAlignment="1" applyProtection="1">
      <alignment horizontal="center" vertical="top"/>
    </xf>
    <xf numFmtId="170" fontId="28" fillId="7" borderId="0" xfId="3" applyNumberFormat="1" applyFont="1" applyFill="1" applyAlignment="1" applyProtection="1">
      <alignment horizontal="center" vertical="top"/>
    </xf>
    <xf numFmtId="49" fontId="74" fillId="7" borderId="0" xfId="0" applyNumberFormat="1" applyFont="1" applyFill="1" applyAlignment="1">
      <alignment horizontal="left" vertical="center"/>
    </xf>
    <xf numFmtId="0" fontId="64" fillId="5" borderId="0" xfId="0" applyFont="1" applyFill="1" applyAlignment="1">
      <alignment vertical="top"/>
    </xf>
    <xf numFmtId="0" fontId="64" fillId="2" borderId="8" xfId="0" applyFont="1" applyFill="1" applyBorder="1" applyAlignment="1">
      <alignment vertical="top"/>
    </xf>
    <xf numFmtId="0" fontId="27" fillId="5" borderId="0" xfId="0" applyFont="1" applyFill="1" applyAlignment="1">
      <alignment vertical="top"/>
    </xf>
    <xf numFmtId="1" fontId="28" fillId="5" borderId="0" xfId="0" applyNumberFormat="1" applyFont="1" applyFill="1" applyAlignment="1">
      <alignment vertical="top"/>
    </xf>
    <xf numFmtId="169" fontId="28" fillId="5" borderId="0" xfId="0" applyNumberFormat="1" applyFont="1" applyFill="1" applyAlignment="1">
      <alignment horizontal="center" vertical="top"/>
    </xf>
    <xf numFmtId="0" fontId="74" fillId="7" borderId="0" xfId="0" applyFont="1" applyFill="1" applyAlignment="1">
      <alignment horizontal="left" vertical="top"/>
    </xf>
    <xf numFmtId="0" fontId="78" fillId="7" borderId="0" xfId="0" applyFont="1" applyFill="1" applyAlignment="1">
      <alignment horizontal="left" vertical="top"/>
    </xf>
    <xf numFmtId="0" fontId="61" fillId="13" borderId="0" xfId="0" applyFont="1" applyFill="1" applyAlignment="1">
      <alignment horizontal="center" vertical="top"/>
    </xf>
    <xf numFmtId="1" fontId="28" fillId="5" borderId="0" xfId="0" applyNumberFormat="1" applyFont="1" applyFill="1" applyAlignment="1">
      <alignment horizontal="center" vertical="top"/>
    </xf>
    <xf numFmtId="0" fontId="28" fillId="13" borderId="16" xfId="0" applyFont="1" applyFill="1" applyBorder="1" applyAlignment="1">
      <alignment vertical="top"/>
    </xf>
    <xf numFmtId="0" fontId="27" fillId="13" borderId="16" xfId="0" applyFont="1" applyFill="1" applyBorder="1" applyAlignment="1">
      <alignment vertical="top"/>
    </xf>
    <xf numFmtId="0" fontId="58" fillId="13" borderId="16" xfId="0" applyFont="1" applyFill="1" applyBorder="1" applyAlignment="1">
      <alignment horizontal="center" vertical="top"/>
    </xf>
    <xf numFmtId="0" fontId="58" fillId="13" borderId="16" xfId="0" applyFont="1" applyFill="1" applyBorder="1" applyAlignment="1">
      <alignment vertical="top"/>
    </xf>
    <xf numFmtId="164" fontId="69" fillId="13" borderId="16" xfId="0" applyNumberFormat="1" applyFont="1" applyFill="1" applyBorder="1" applyAlignment="1">
      <alignment horizontal="center" vertical="top"/>
    </xf>
    <xf numFmtId="0" fontId="69" fillId="13" borderId="16" xfId="0" applyFont="1" applyFill="1" applyBorder="1" applyAlignment="1">
      <alignment horizontal="center" vertical="top"/>
    </xf>
    <xf numFmtId="0" fontId="58" fillId="5" borderId="16" xfId="0" applyFont="1" applyFill="1" applyBorder="1" applyAlignment="1" applyProtection="1">
      <alignment horizontal="center" vertical="top"/>
      <protection locked="0"/>
    </xf>
    <xf numFmtId="0" fontId="68" fillId="13" borderId="16" xfId="0" applyFont="1" applyFill="1" applyBorder="1" applyAlignment="1">
      <alignment horizontal="center" vertical="top"/>
    </xf>
    <xf numFmtId="0" fontId="71" fillId="13" borderId="16" xfId="0" applyFont="1" applyFill="1" applyBorder="1" applyAlignment="1">
      <alignment horizontal="center" vertical="top"/>
    </xf>
    <xf numFmtId="169" fontId="58" fillId="9" borderId="16" xfId="0" applyNumberFormat="1" applyFont="1" applyFill="1" applyBorder="1" applyAlignment="1">
      <alignment horizontal="center" vertical="top"/>
    </xf>
    <xf numFmtId="0" fontId="70" fillId="13" borderId="16" xfId="0" applyFont="1" applyFill="1" applyBorder="1" applyAlignment="1">
      <alignment horizontal="center" vertical="top"/>
    </xf>
    <xf numFmtId="166" fontId="58" fillId="5" borderId="16" xfId="0" applyNumberFormat="1" applyFont="1" applyFill="1" applyBorder="1" applyAlignment="1" applyProtection="1">
      <alignment horizontal="center" vertical="top"/>
      <protection locked="0"/>
    </xf>
    <xf numFmtId="0" fontId="79" fillId="13" borderId="16" xfId="0" applyFont="1" applyFill="1" applyBorder="1" applyAlignment="1">
      <alignment horizontal="center" vertical="top"/>
    </xf>
    <xf numFmtId="0" fontId="79" fillId="13" borderId="16" xfId="0" applyFont="1" applyFill="1" applyBorder="1" applyAlignment="1">
      <alignment vertical="top"/>
    </xf>
    <xf numFmtId="169" fontId="27" fillId="9" borderId="16" xfId="0" applyNumberFormat="1" applyFont="1" applyFill="1" applyBorder="1" applyAlignment="1">
      <alignment horizontal="center" vertical="top"/>
    </xf>
    <xf numFmtId="0" fontId="64" fillId="13" borderId="16" xfId="0" applyFont="1" applyFill="1" applyBorder="1" applyAlignment="1">
      <alignment vertical="top"/>
    </xf>
    <xf numFmtId="0" fontId="28" fillId="13" borderId="16" xfId="0" applyFont="1" applyFill="1" applyBorder="1" applyAlignment="1">
      <alignment horizontal="center" vertical="top"/>
    </xf>
    <xf numFmtId="1" fontId="28" fillId="13" borderId="16" xfId="0" applyNumberFormat="1" applyFont="1" applyFill="1" applyBorder="1" applyAlignment="1">
      <alignment vertical="top"/>
    </xf>
    <xf numFmtId="4" fontId="28" fillId="13" borderId="16" xfId="0" applyNumberFormat="1" applyFont="1" applyFill="1" applyBorder="1" applyAlignment="1">
      <alignment horizontal="center" vertical="top"/>
    </xf>
    <xf numFmtId="1" fontId="28" fillId="13" borderId="16" xfId="0" applyNumberFormat="1" applyFont="1" applyFill="1" applyBorder="1" applyAlignment="1">
      <alignment horizontal="center" vertical="top"/>
    </xf>
    <xf numFmtId="9" fontId="28" fillId="13" borderId="16" xfId="0" applyNumberFormat="1" applyFont="1" applyFill="1" applyBorder="1" applyAlignment="1">
      <alignment vertical="top"/>
    </xf>
    <xf numFmtId="164" fontId="28" fillId="12" borderId="16" xfId="0" applyNumberFormat="1" applyFont="1" applyFill="1" applyBorder="1" applyAlignment="1">
      <alignment horizontal="center" vertical="top"/>
    </xf>
    <xf numFmtId="9" fontId="28" fillId="13" borderId="16" xfId="0" applyNumberFormat="1" applyFont="1" applyFill="1" applyBorder="1" applyAlignment="1">
      <alignment horizontal="center" vertical="top"/>
    </xf>
    <xf numFmtId="169" fontId="28" fillId="12" borderId="16" xfId="0" applyNumberFormat="1" applyFont="1" applyFill="1" applyBorder="1" applyAlignment="1">
      <alignment horizontal="center" vertical="top"/>
    </xf>
    <xf numFmtId="10" fontId="28" fillId="13" borderId="16" xfId="0" applyNumberFormat="1" applyFont="1" applyFill="1" applyBorder="1" applyAlignment="1">
      <alignment vertical="top"/>
    </xf>
    <xf numFmtId="10" fontId="28" fillId="13" borderId="16" xfId="0" applyNumberFormat="1" applyFont="1" applyFill="1" applyBorder="1" applyAlignment="1">
      <alignment horizontal="center" vertical="top"/>
    </xf>
    <xf numFmtId="0" fontId="28" fillId="5" borderId="16" xfId="0" applyFont="1" applyFill="1" applyBorder="1" applyAlignment="1" applyProtection="1">
      <alignment horizontal="center" vertical="top"/>
      <protection locked="0"/>
    </xf>
    <xf numFmtId="0" fontId="28" fillId="14" borderId="16" xfId="0" applyFont="1" applyFill="1" applyBorder="1" applyAlignment="1">
      <alignment horizontal="center" vertical="top"/>
    </xf>
    <xf numFmtId="0" fontId="27" fillId="13" borderId="16" xfId="0" applyFont="1" applyFill="1" applyBorder="1" applyAlignment="1">
      <alignment horizontal="center" vertical="top"/>
    </xf>
    <xf numFmtId="0" fontId="72" fillId="13" borderId="16" xfId="0" applyFont="1" applyFill="1" applyBorder="1" applyAlignment="1">
      <alignment vertical="top"/>
    </xf>
    <xf numFmtId="0" fontId="64" fillId="13" borderId="16" xfId="0" applyFont="1" applyFill="1" applyBorder="1" applyAlignment="1">
      <alignment horizontal="center" vertical="top"/>
    </xf>
    <xf numFmtId="169" fontId="72" fillId="9" borderId="16" xfId="0" applyNumberFormat="1" applyFont="1" applyFill="1" applyBorder="1" applyAlignment="1">
      <alignment horizontal="center" vertical="top"/>
    </xf>
    <xf numFmtId="169" fontId="28" fillId="13" borderId="16" xfId="0" applyNumberFormat="1" applyFont="1" applyFill="1" applyBorder="1" applyAlignment="1">
      <alignment horizontal="center" vertical="top"/>
    </xf>
    <xf numFmtId="169" fontId="58" fillId="12" borderId="16" xfId="3" applyNumberFormat="1" applyFont="1" applyFill="1" applyBorder="1" applyAlignment="1" applyProtection="1">
      <alignment horizontal="center" vertical="top"/>
    </xf>
    <xf numFmtId="0" fontId="28" fillId="5" borderId="16" xfId="2" applyNumberFormat="1" applyFont="1" applyFill="1" applyBorder="1" applyAlignment="1" applyProtection="1">
      <alignment horizontal="center" vertical="top"/>
      <protection locked="0"/>
    </xf>
    <xf numFmtId="169" fontId="58" fillId="5" borderId="16" xfId="3" applyNumberFormat="1" applyFont="1" applyFill="1" applyBorder="1" applyAlignment="1" applyProtection="1">
      <alignment horizontal="center" vertical="top"/>
      <protection locked="0"/>
    </xf>
    <xf numFmtId="169" fontId="28" fillId="5" borderId="16" xfId="0" applyNumberFormat="1" applyFont="1" applyFill="1" applyBorder="1" applyAlignment="1" applyProtection="1">
      <alignment horizontal="center" vertical="top"/>
      <protection locked="0"/>
    </xf>
    <xf numFmtId="169" fontId="28" fillId="9" borderId="16" xfId="0" applyNumberFormat="1" applyFont="1" applyFill="1" applyBorder="1" applyAlignment="1">
      <alignment horizontal="center" vertical="top"/>
    </xf>
    <xf numFmtId="0" fontId="72" fillId="13" borderId="16" xfId="0" applyFont="1" applyFill="1" applyBorder="1" applyAlignment="1">
      <alignment horizontal="center" vertical="top"/>
    </xf>
    <xf numFmtId="0" fontId="18" fillId="5" borderId="0" xfId="0" applyFont="1" applyFill="1" applyAlignment="1">
      <alignment vertical="top"/>
    </xf>
    <xf numFmtId="0" fontId="18" fillId="5" borderId="8" xfId="0" applyFont="1" applyFill="1" applyBorder="1" applyAlignment="1">
      <alignment vertical="top"/>
    </xf>
    <xf numFmtId="0" fontId="17" fillId="5" borderId="0" xfId="0" applyFont="1" applyFill="1" applyAlignment="1">
      <alignment vertical="top"/>
    </xf>
    <xf numFmtId="0" fontId="17" fillId="5" borderId="8" xfId="0" applyFont="1" applyFill="1" applyBorder="1" applyAlignment="1">
      <alignment vertical="top"/>
    </xf>
    <xf numFmtId="168" fontId="64" fillId="13" borderId="0" xfId="2" applyNumberFormat="1" applyFont="1" applyFill="1" applyBorder="1" applyAlignment="1" applyProtection="1">
      <alignment horizontal="center" vertical="top"/>
    </xf>
    <xf numFmtId="0" fontId="11" fillId="2" borderId="0" xfId="0" applyFont="1" applyFill="1" applyAlignment="1">
      <alignment horizontal="left" vertical="top"/>
    </xf>
    <xf numFmtId="168" fontId="64" fillId="13" borderId="0" xfId="2" applyNumberFormat="1" applyFont="1" applyFill="1" applyAlignment="1">
      <alignment horizontal="center" vertical="top"/>
    </xf>
    <xf numFmtId="168" fontId="47" fillId="15" borderId="0" xfId="2" applyNumberFormat="1" applyFont="1" applyFill="1"/>
    <xf numFmtId="0" fontId="43" fillId="14" borderId="0" xfId="0" applyFont="1" applyFill="1" applyAlignment="1">
      <alignment vertical="top"/>
    </xf>
    <xf numFmtId="0" fontId="14" fillId="14" borderId="0" xfId="0" applyFont="1" applyFill="1" applyAlignment="1">
      <alignment vertical="top"/>
    </xf>
    <xf numFmtId="168" fontId="80" fillId="15" borderId="0" xfId="2" applyNumberFormat="1" applyFont="1" applyFill="1" applyAlignment="1">
      <alignment horizontal="center"/>
    </xf>
    <xf numFmtId="0" fontId="33" fillId="5" borderId="0" xfId="0" applyFont="1" applyFill="1" applyAlignment="1" applyProtection="1">
      <alignment horizontal="center"/>
      <protection locked="0"/>
    </xf>
    <xf numFmtId="168" fontId="30" fillId="14" borderId="12" xfId="2" applyNumberFormat="1" applyFont="1" applyFill="1" applyBorder="1" applyAlignment="1" applyProtection="1">
      <alignment horizontal="center"/>
    </xf>
    <xf numFmtId="42" fontId="30" fillId="9" borderId="14" xfId="3" applyNumberFormat="1" applyFont="1" applyFill="1" applyBorder="1" applyAlignment="1" applyProtection="1">
      <alignment horizontal="center"/>
    </xf>
    <xf numFmtId="42" fontId="56" fillId="14" borderId="12" xfId="3" applyNumberFormat="1" applyFont="1" applyFill="1" applyBorder="1" applyAlignment="1" applyProtection="1">
      <alignment horizontal="center"/>
    </xf>
    <xf numFmtId="42" fontId="30" fillId="14" borderId="12" xfId="3" applyNumberFormat="1" applyFont="1" applyFill="1" applyBorder="1" applyAlignment="1" applyProtection="1">
      <alignment horizontal="center"/>
    </xf>
    <xf numFmtId="42" fontId="30" fillId="9" borderId="12" xfId="3" applyNumberFormat="1" applyFont="1" applyFill="1" applyBorder="1" applyAlignment="1" applyProtection="1">
      <alignment horizontal="center"/>
    </xf>
    <xf numFmtId="42" fontId="30" fillId="5" borderId="12" xfId="3" applyNumberFormat="1" applyFont="1" applyFill="1" applyBorder="1" applyAlignment="1" applyProtection="1">
      <alignment horizontal="center"/>
      <protection locked="0"/>
    </xf>
    <xf numFmtId="0" fontId="23" fillId="5" borderId="0" xfId="0" applyFont="1" applyFill="1"/>
    <xf numFmtId="172" fontId="32" fillId="5" borderId="0" xfId="0" applyNumberFormat="1" applyFont="1" applyFill="1" applyAlignment="1">
      <alignment horizontal="left"/>
    </xf>
    <xf numFmtId="0" fontId="81" fillId="0" borderId="0" xfId="0" applyFont="1" applyAlignment="1">
      <alignment horizontal="left"/>
    </xf>
    <xf numFmtId="0" fontId="30" fillId="5" borderId="12" xfId="0" applyFont="1" applyFill="1" applyBorder="1" applyProtection="1">
      <protection locked="0"/>
    </xf>
    <xf numFmtId="14" fontId="30" fillId="5" borderId="12" xfId="0" applyNumberFormat="1" applyFont="1" applyFill="1" applyBorder="1" applyProtection="1">
      <protection locked="0"/>
    </xf>
    <xf numFmtId="0" fontId="58" fillId="5" borderId="12" xfId="0" applyFont="1" applyFill="1" applyBorder="1" applyAlignment="1" applyProtection="1">
      <alignment horizontal="center" vertical="top"/>
      <protection locked="0"/>
    </xf>
    <xf numFmtId="49" fontId="58" fillId="14" borderId="12" xfId="0" applyNumberFormat="1" applyFont="1" applyFill="1" applyBorder="1" applyAlignment="1">
      <alignment horizontal="center" vertical="top"/>
    </xf>
    <xf numFmtId="166" fontId="30" fillId="5" borderId="12" xfId="0" applyNumberFormat="1" applyFont="1" applyFill="1" applyBorder="1" applyAlignment="1" applyProtection="1">
      <alignment horizontal="center"/>
      <protection locked="0"/>
    </xf>
    <xf numFmtId="0" fontId="57" fillId="5" borderId="0" xfId="0" applyFont="1" applyFill="1" applyAlignment="1">
      <alignment horizontal="left" vertical="top" wrapText="1"/>
    </xf>
    <xf numFmtId="168" fontId="82" fillId="15" borderId="0" xfId="0" applyNumberFormat="1" applyFont="1" applyFill="1"/>
    <xf numFmtId="169" fontId="67" fillId="5" borderId="0" xfId="0" applyNumberFormat="1" applyFont="1" applyFill="1" applyAlignment="1">
      <alignment vertical="top"/>
    </xf>
    <xf numFmtId="173" fontId="30" fillId="6" borderId="0" xfId="0" applyNumberFormat="1" applyFont="1" applyFill="1" applyAlignment="1">
      <alignment horizontal="right"/>
    </xf>
    <xf numFmtId="0" fontId="2" fillId="0" borderId="0" xfId="1" applyAlignment="1" applyProtection="1"/>
    <xf numFmtId="0" fontId="57" fillId="5" borderId="0" xfId="0" applyFont="1" applyFill="1" applyAlignment="1">
      <alignment horizontal="left" vertical="top" wrapText="1"/>
    </xf>
    <xf numFmtId="0" fontId="33" fillId="14" borderId="0" xfId="0" applyFont="1" applyFill="1" applyAlignment="1">
      <alignment horizontal="center"/>
    </xf>
    <xf numFmtId="0" fontId="26" fillId="5" borderId="0" xfId="0" applyFont="1" applyFill="1" applyAlignment="1">
      <alignment horizontal="center"/>
    </xf>
  </cellXfs>
  <cellStyles count="5">
    <cellStyle name="Hyperlink" xfId="1" builtinId="8"/>
    <cellStyle name="Procent" xfId="2" builtinId="5"/>
    <cellStyle name="Standaard" xfId="0" builtinId="0"/>
    <cellStyle name="Standaard 2" xfId="4" xr:uid="{00000000-0005-0000-0000-000003000000}"/>
    <cellStyle name="Valuta" xfId="3" builtinId="4"/>
  </cellStyles>
  <dxfs count="0"/>
  <tableStyles count="0" defaultTableStyle="TableStyleMedium9" defaultPivotStyle="PivotStyleLight16"/>
  <colors>
    <mruColors>
      <color rgb="FFFFFF99"/>
      <color rgb="FFFFFF66"/>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abp.nl/content/dam/abp/common/documents/Premietabel_2024.pdf" TargetMode="External"/><Relationship Id="rId7" Type="http://schemas.openxmlformats.org/officeDocument/2006/relationships/comments" Target="../comments3.xml"/><Relationship Id="rId2" Type="http://schemas.openxmlformats.org/officeDocument/2006/relationships/hyperlink" Target="https://www.abp.nl/content/dam/abp/common/documents/Premietabel_2024.pdf" TargetMode="External"/><Relationship Id="rId1" Type="http://schemas.openxmlformats.org/officeDocument/2006/relationships/hyperlink" Target="https://www.abp.nl/content/dam/abp/common/documents/Premietabel_2024.pdf"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www.uwv.nl/imagesdxa/gedifferentieerde-premies-wga-en-ziektewet-2024_tcm94-45136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A61"/>
  <sheetViews>
    <sheetView tabSelected="1" zoomScale="85" zoomScaleNormal="85" zoomScaleSheetLayoutView="85" workbookViewId="0">
      <selection activeCell="C3" sqref="C3"/>
    </sheetView>
  </sheetViews>
  <sheetFormatPr defaultColWidth="9.140625" defaultRowHeight="11.45" customHeight="1" x14ac:dyDescent="0.2"/>
  <cols>
    <col min="1" max="1" width="3.7109375" style="4" customWidth="1"/>
    <col min="2" max="2" width="2.7109375" style="4" customWidth="1"/>
    <col min="3" max="3" width="17.7109375" style="4" bestFit="1" customWidth="1"/>
    <col min="4" max="4" width="9.140625" style="4"/>
    <col min="5" max="6" width="14.85546875" style="4" customWidth="1"/>
    <col min="7" max="7" width="9.140625" style="4"/>
    <col min="8" max="8" width="19.7109375" style="4" bestFit="1" customWidth="1"/>
    <col min="9" max="11" width="9.140625" style="4"/>
    <col min="12" max="12" width="9.7109375" style="4" customWidth="1"/>
    <col min="13" max="13" width="12" style="4" customWidth="1"/>
    <col min="14" max="16384" width="9.140625" style="4"/>
  </cols>
  <sheetData>
    <row r="2" spans="2:22" ht="11.45" customHeight="1" x14ac:dyDescent="0.2">
      <c r="B2" s="154"/>
      <c r="C2" s="155"/>
      <c r="D2" s="155"/>
      <c r="E2" s="155"/>
      <c r="F2" s="155"/>
      <c r="G2" s="155"/>
      <c r="H2" s="155"/>
      <c r="I2" s="155"/>
      <c r="J2" s="155"/>
      <c r="K2" s="155"/>
      <c r="L2" s="155"/>
      <c r="M2" s="156"/>
      <c r="N2" s="1"/>
      <c r="O2" s="1"/>
      <c r="P2" s="1"/>
      <c r="Q2" s="1"/>
      <c r="R2" s="1"/>
      <c r="S2" s="1"/>
      <c r="T2" s="1"/>
      <c r="U2" s="1"/>
      <c r="V2" s="1"/>
    </row>
    <row r="3" spans="2:22" s="5" customFormat="1" ht="15" customHeight="1" x14ac:dyDescent="0.3">
      <c r="B3" s="15"/>
      <c r="C3" s="295" t="s">
        <v>0</v>
      </c>
      <c r="D3" s="6"/>
      <c r="E3" s="6"/>
      <c r="F3" s="6"/>
      <c r="G3" s="6"/>
      <c r="L3" s="7"/>
      <c r="M3" s="16"/>
      <c r="P3" s="1"/>
    </row>
    <row r="4" spans="2:22" s="5" customFormat="1" ht="15" customHeight="1" x14ac:dyDescent="0.25">
      <c r="B4" s="15"/>
      <c r="C4" s="296">
        <v>45280</v>
      </c>
      <c r="D4" s="6"/>
      <c r="E4" s="6"/>
      <c r="F4" s="6"/>
      <c r="G4" s="6"/>
      <c r="H4" s="88"/>
      <c r="L4" s="7"/>
      <c r="M4" s="16"/>
      <c r="P4" s="1"/>
    </row>
    <row r="5" spans="2:22" ht="11.45" customHeight="1" x14ac:dyDescent="0.25">
      <c r="B5" s="18"/>
      <c r="C5" s="8"/>
      <c r="D5" s="1"/>
      <c r="E5" s="1"/>
      <c r="F5" s="1"/>
      <c r="G5" s="1"/>
      <c r="H5" s="1"/>
      <c r="I5" s="1"/>
      <c r="J5" s="1"/>
      <c r="K5" s="1"/>
      <c r="L5" s="157"/>
      <c r="M5" s="17"/>
      <c r="N5" s="1"/>
      <c r="O5" s="1"/>
      <c r="P5" s="1"/>
      <c r="Q5" s="1"/>
      <c r="R5" s="1"/>
      <c r="S5" s="1"/>
      <c r="T5" s="1"/>
      <c r="U5" s="1"/>
      <c r="V5" s="1"/>
    </row>
    <row r="6" spans="2:22" ht="11.45" customHeight="1" x14ac:dyDescent="0.25">
      <c r="B6" s="18"/>
      <c r="C6" s="8"/>
      <c r="D6" s="1"/>
      <c r="E6" s="1"/>
      <c r="F6" s="1"/>
      <c r="G6" s="1"/>
      <c r="H6" s="1"/>
      <c r="I6" s="1"/>
      <c r="J6" s="1"/>
      <c r="K6" s="1"/>
      <c r="L6" s="157"/>
      <c r="M6" s="17"/>
      <c r="N6" s="1"/>
      <c r="O6" s="1"/>
      <c r="P6" s="1"/>
      <c r="Q6" s="1"/>
      <c r="R6" s="1"/>
      <c r="S6" s="1"/>
      <c r="T6" s="1"/>
      <c r="U6" s="1"/>
      <c r="V6" s="1"/>
    </row>
    <row r="7" spans="2:22" ht="11.45" customHeight="1" x14ac:dyDescent="0.2">
      <c r="B7" s="18"/>
      <c r="C7" s="1" t="s">
        <v>1</v>
      </c>
      <c r="D7" s="1"/>
      <c r="E7" s="1"/>
      <c r="F7" s="1"/>
      <c r="G7" s="310" t="s">
        <v>2</v>
      </c>
      <c r="H7" s="1"/>
      <c r="I7" s="1"/>
      <c r="J7" s="1"/>
      <c r="K7" s="1"/>
      <c r="L7" s="1"/>
      <c r="M7" s="17"/>
      <c r="N7" s="1"/>
      <c r="O7" s="1"/>
      <c r="P7" s="1"/>
      <c r="Q7" s="1"/>
      <c r="R7" s="1"/>
      <c r="S7" s="1"/>
      <c r="T7" s="1"/>
      <c r="U7" s="1"/>
      <c r="V7" s="1"/>
    </row>
    <row r="8" spans="2:22" ht="11.45" customHeight="1" x14ac:dyDescent="0.2">
      <c r="B8" s="18"/>
      <c r="C8" s="1" t="s">
        <v>3</v>
      </c>
      <c r="D8" s="1"/>
      <c r="E8" s="1"/>
      <c r="F8" s="1"/>
      <c r="G8" s="1"/>
      <c r="H8" s="1"/>
      <c r="I8" s="1"/>
      <c r="J8" s="1"/>
      <c r="K8" s="1"/>
      <c r="L8" s="1"/>
      <c r="M8" s="19"/>
      <c r="N8" s="1"/>
      <c r="O8" s="1"/>
      <c r="P8" s="1"/>
      <c r="Q8" s="1"/>
      <c r="R8" s="1"/>
      <c r="S8" s="1"/>
      <c r="T8" s="1"/>
      <c r="U8" s="1"/>
      <c r="V8" s="1"/>
    </row>
    <row r="9" spans="2:22" ht="11.45" customHeight="1" x14ac:dyDescent="0.2">
      <c r="B9" s="18"/>
      <c r="C9" s="1"/>
      <c r="D9" s="1"/>
      <c r="E9" s="1"/>
      <c r="F9" s="1"/>
      <c r="G9" s="1"/>
      <c r="H9" s="1"/>
      <c r="I9" s="1"/>
      <c r="J9" s="1"/>
      <c r="K9" s="1"/>
      <c r="L9" s="1"/>
      <c r="M9" s="19"/>
      <c r="N9" s="1"/>
      <c r="O9" s="1"/>
      <c r="P9" s="1"/>
      <c r="Q9" s="1"/>
      <c r="R9" s="1"/>
      <c r="S9" s="1"/>
      <c r="T9" s="1"/>
      <c r="U9" s="1"/>
      <c r="V9" s="1"/>
    </row>
    <row r="10" spans="2:22" ht="11.45" customHeight="1" x14ac:dyDescent="0.2">
      <c r="B10" s="18"/>
      <c r="C10" s="3" t="s">
        <v>4</v>
      </c>
      <c r="D10" s="1"/>
      <c r="E10" s="1"/>
      <c r="F10" s="1"/>
      <c r="G10" s="1"/>
      <c r="H10" s="1"/>
      <c r="I10" s="1"/>
      <c r="J10" s="1"/>
      <c r="K10" s="1"/>
      <c r="L10" s="1"/>
      <c r="M10" s="19"/>
      <c r="N10" s="1"/>
      <c r="O10" s="1"/>
      <c r="P10" s="1"/>
      <c r="Q10" s="1"/>
      <c r="R10" s="1"/>
      <c r="S10" s="1"/>
      <c r="T10" s="1"/>
      <c r="U10" s="1"/>
      <c r="V10" s="1"/>
    </row>
    <row r="11" spans="2:22" ht="11.45" customHeight="1" x14ac:dyDescent="0.2">
      <c r="B11" s="18"/>
      <c r="C11" s="1" t="s">
        <v>5</v>
      </c>
      <c r="D11" s="1"/>
      <c r="E11" s="1"/>
      <c r="F11" s="1"/>
      <c r="G11" s="1"/>
      <c r="H11" s="1"/>
      <c r="I11" s="1"/>
      <c r="J11" s="1"/>
      <c r="K11" s="1"/>
      <c r="L11" s="1"/>
      <c r="M11" s="19"/>
      <c r="N11" s="1"/>
      <c r="O11" s="1"/>
      <c r="P11" s="1"/>
      <c r="Q11" s="1"/>
      <c r="R11" s="1"/>
      <c r="S11" s="1"/>
      <c r="T11" s="1"/>
      <c r="U11" s="1"/>
      <c r="V11" s="1"/>
    </row>
    <row r="12" spans="2:22" ht="11.45" customHeight="1" x14ac:dyDescent="0.2">
      <c r="B12" s="18"/>
      <c r="C12" s="1" t="s">
        <v>6</v>
      </c>
      <c r="D12" s="1"/>
      <c r="E12" s="1"/>
      <c r="F12" s="1"/>
      <c r="G12" s="1"/>
      <c r="H12" s="1"/>
      <c r="I12" s="1"/>
      <c r="J12" s="1"/>
      <c r="K12" s="1"/>
      <c r="L12" s="1"/>
      <c r="M12" s="19"/>
      <c r="N12" s="1"/>
      <c r="O12" s="1"/>
      <c r="P12" s="1"/>
      <c r="Q12" s="1"/>
      <c r="R12" s="1"/>
      <c r="S12" s="1"/>
      <c r="T12" s="1"/>
      <c r="U12" s="1"/>
      <c r="V12" s="1"/>
    </row>
    <row r="13" spans="2:22" ht="11.45" customHeight="1" x14ac:dyDescent="0.2">
      <c r="B13" s="18"/>
      <c r="C13" s="1" t="s">
        <v>7</v>
      </c>
      <c r="D13" s="1"/>
      <c r="E13" s="1"/>
      <c r="F13" s="1"/>
      <c r="G13" s="1"/>
      <c r="H13" s="1"/>
      <c r="I13" s="1"/>
      <c r="J13" s="1"/>
      <c r="K13" s="1"/>
      <c r="L13" s="1"/>
      <c r="M13" s="19"/>
      <c r="N13" s="1"/>
      <c r="O13" s="1"/>
      <c r="P13" s="1"/>
      <c r="Q13" s="1"/>
      <c r="R13" s="1"/>
      <c r="S13" s="1"/>
      <c r="T13" s="1"/>
      <c r="U13" s="1"/>
      <c r="V13" s="1"/>
    </row>
    <row r="14" spans="2:22" ht="11.45" customHeight="1" x14ac:dyDescent="0.2">
      <c r="B14" s="18"/>
      <c r="C14" s="1"/>
      <c r="D14" s="1"/>
      <c r="E14" s="1"/>
      <c r="F14" s="1"/>
      <c r="G14" s="1"/>
      <c r="H14" s="1"/>
      <c r="I14" s="1"/>
      <c r="J14" s="1"/>
      <c r="K14" s="1"/>
      <c r="L14" s="1"/>
      <c r="M14" s="19"/>
      <c r="N14" s="1"/>
      <c r="O14" s="1"/>
      <c r="P14" s="1"/>
      <c r="Q14" s="1"/>
      <c r="R14" s="1"/>
      <c r="S14" s="1"/>
      <c r="T14" s="1"/>
      <c r="U14" s="1"/>
      <c r="V14" s="1"/>
    </row>
    <row r="15" spans="2:22" ht="11.45" customHeight="1" x14ac:dyDescent="0.2">
      <c r="B15" s="18"/>
      <c r="C15" s="3" t="s">
        <v>8</v>
      </c>
      <c r="D15" s="1"/>
      <c r="E15" s="1"/>
      <c r="F15" s="1"/>
      <c r="G15" s="1"/>
      <c r="H15" s="1"/>
      <c r="I15" s="1"/>
      <c r="J15" s="1"/>
      <c r="K15" s="1"/>
      <c r="L15" s="1"/>
      <c r="M15" s="19"/>
      <c r="N15" s="1"/>
      <c r="O15" s="1"/>
      <c r="P15" s="1"/>
      <c r="Q15" s="1"/>
      <c r="R15" s="1"/>
      <c r="S15" s="1"/>
      <c r="T15" s="1"/>
      <c r="U15" s="1"/>
      <c r="V15" s="1"/>
    </row>
    <row r="16" spans="2:22" ht="11.45" customHeight="1" x14ac:dyDescent="0.2">
      <c r="B16" s="18"/>
      <c r="C16" s="1" t="s">
        <v>9</v>
      </c>
      <c r="D16" s="1"/>
      <c r="E16" s="1"/>
      <c r="F16" s="1"/>
      <c r="G16" s="1"/>
      <c r="H16" s="1"/>
      <c r="I16" s="1"/>
      <c r="J16" s="1"/>
      <c r="K16" s="1"/>
      <c r="L16" s="1"/>
      <c r="M16" s="19"/>
      <c r="N16" s="1"/>
      <c r="O16" s="1"/>
      <c r="P16" s="1"/>
      <c r="Q16" s="1"/>
      <c r="R16" s="1"/>
      <c r="S16" s="1"/>
      <c r="T16" s="1"/>
      <c r="U16" s="1"/>
      <c r="V16" s="1"/>
    </row>
    <row r="17" spans="2:27" ht="11.45" customHeight="1" x14ac:dyDescent="0.2">
      <c r="B17" s="18"/>
      <c r="C17" s="1" t="s">
        <v>10</v>
      </c>
      <c r="D17" s="1"/>
      <c r="E17" s="1"/>
      <c r="F17" s="1"/>
      <c r="G17" s="1"/>
      <c r="H17" s="1"/>
      <c r="I17" s="1"/>
      <c r="J17" s="1"/>
      <c r="K17" s="1"/>
      <c r="L17" s="1"/>
      <c r="M17" s="19"/>
      <c r="N17" s="1"/>
      <c r="O17" s="1"/>
      <c r="P17" s="10"/>
      <c r="Q17" s="1"/>
      <c r="R17" s="1"/>
      <c r="S17" s="1"/>
      <c r="T17" s="1"/>
      <c r="U17" s="1"/>
      <c r="V17" s="1"/>
      <c r="W17" s="1"/>
      <c r="X17" s="1"/>
      <c r="Y17" s="1"/>
      <c r="Z17" s="1"/>
      <c r="AA17" s="1"/>
    </row>
    <row r="18" spans="2:27" ht="11.45" customHeight="1" x14ac:dyDescent="0.2">
      <c r="B18" s="18"/>
      <c r="C18" s="1" t="s">
        <v>11</v>
      </c>
      <c r="D18" s="1"/>
      <c r="E18" s="1"/>
      <c r="F18" s="1"/>
      <c r="G18" s="1"/>
      <c r="H18" s="1"/>
      <c r="I18" s="1"/>
      <c r="J18" s="1"/>
      <c r="K18" s="1"/>
      <c r="L18" s="1"/>
      <c r="M18" s="19"/>
      <c r="N18" s="1"/>
      <c r="O18" s="1"/>
      <c r="P18" s="10"/>
      <c r="Q18" s="1"/>
      <c r="R18" s="1"/>
      <c r="S18" s="1"/>
      <c r="T18" s="1"/>
      <c r="U18" s="1"/>
      <c r="V18" s="1"/>
      <c r="W18" s="1"/>
      <c r="X18" s="1"/>
      <c r="Y18" s="1"/>
      <c r="Z18" s="1"/>
      <c r="AA18" s="1"/>
    </row>
    <row r="19" spans="2:27" ht="11.45" customHeight="1" x14ac:dyDescent="0.2">
      <c r="B19" s="18"/>
      <c r="C19" s="1" t="s">
        <v>12</v>
      </c>
      <c r="D19" s="1"/>
      <c r="E19" s="1"/>
      <c r="F19" s="1"/>
      <c r="G19" s="1"/>
      <c r="H19" s="1"/>
      <c r="I19" s="1"/>
      <c r="J19" s="1"/>
      <c r="K19" s="1"/>
      <c r="L19" s="1"/>
      <c r="M19" s="19"/>
      <c r="N19" s="1"/>
      <c r="O19" s="1"/>
      <c r="P19" s="10"/>
      <c r="Q19" s="1"/>
      <c r="R19" s="1"/>
      <c r="S19" s="1"/>
      <c r="T19" s="1"/>
      <c r="U19" s="1"/>
      <c r="V19" s="1"/>
      <c r="W19" s="1"/>
      <c r="X19" s="1"/>
      <c r="Y19" s="1"/>
      <c r="Z19" s="1"/>
      <c r="AA19" s="1"/>
    </row>
    <row r="20" spans="2:27" ht="11.45" customHeight="1" x14ac:dyDescent="0.2">
      <c r="B20" s="18"/>
      <c r="C20" s="1"/>
      <c r="D20" s="1"/>
      <c r="E20" s="1"/>
      <c r="F20" s="1"/>
      <c r="G20" s="1"/>
      <c r="H20" s="1"/>
      <c r="I20" s="1"/>
      <c r="J20" s="1"/>
      <c r="K20" s="1"/>
      <c r="L20" s="1"/>
      <c r="M20" s="19"/>
      <c r="N20" s="1"/>
      <c r="O20" s="1"/>
      <c r="P20" s="10"/>
      <c r="Q20" s="1"/>
      <c r="R20" s="1"/>
      <c r="S20" s="1"/>
      <c r="T20" s="1"/>
      <c r="U20" s="1"/>
      <c r="V20" s="1"/>
      <c r="W20" s="1"/>
      <c r="X20" s="1"/>
      <c r="Y20" s="1"/>
      <c r="Z20" s="1"/>
      <c r="AA20" s="1"/>
    </row>
    <row r="21" spans="2:27" ht="11.45" customHeight="1" x14ac:dyDescent="0.2">
      <c r="B21" s="18"/>
      <c r="C21" s="3" t="s">
        <v>13</v>
      </c>
      <c r="D21" s="1"/>
      <c r="E21" s="1"/>
      <c r="F21" s="1"/>
      <c r="G21" s="1"/>
      <c r="H21" s="12"/>
      <c r="I21" s="12"/>
      <c r="J21" s="12"/>
      <c r="K21" s="1"/>
      <c r="L21" s="1"/>
      <c r="M21" s="19"/>
      <c r="N21" s="1"/>
      <c r="O21" s="1"/>
      <c r="P21" s="1"/>
      <c r="Q21" s="1"/>
      <c r="R21" s="1"/>
      <c r="S21" s="1"/>
      <c r="T21" s="1"/>
      <c r="U21" s="1"/>
      <c r="V21" s="1"/>
      <c r="W21" s="1"/>
      <c r="X21" s="1"/>
      <c r="Y21" s="1"/>
      <c r="Z21" s="1"/>
      <c r="AA21" s="1"/>
    </row>
    <row r="22" spans="2:27" ht="11.45" customHeight="1" x14ac:dyDescent="0.2">
      <c r="B22" s="18"/>
      <c r="C22" s="1" t="s">
        <v>14</v>
      </c>
      <c r="D22" s="1"/>
      <c r="E22" s="1"/>
      <c r="F22" s="1"/>
      <c r="G22" s="1"/>
      <c r="H22" s="12"/>
      <c r="I22" s="12"/>
      <c r="J22" s="12"/>
      <c r="K22" s="1"/>
      <c r="L22" s="1"/>
      <c r="M22" s="19"/>
      <c r="N22" s="1"/>
      <c r="O22" s="1"/>
      <c r="P22" s="1"/>
      <c r="Q22" s="1"/>
      <c r="R22" s="1"/>
      <c r="S22" s="1"/>
      <c r="T22" s="1"/>
      <c r="U22" s="1"/>
      <c r="V22" s="1"/>
      <c r="W22" s="1"/>
      <c r="X22" s="1"/>
      <c r="Y22" s="1"/>
      <c r="Z22" s="1"/>
      <c r="AA22" s="1"/>
    </row>
    <row r="23" spans="2:27" ht="11.45" customHeight="1" x14ac:dyDescent="0.2">
      <c r="B23" s="18"/>
      <c r="C23" s="1" t="s">
        <v>15</v>
      </c>
      <c r="D23" s="1"/>
      <c r="E23" s="1"/>
      <c r="F23" s="1"/>
      <c r="G23" s="1"/>
      <c r="H23" s="12"/>
      <c r="I23" s="12"/>
      <c r="J23" s="12"/>
      <c r="K23" s="1"/>
      <c r="L23" s="1"/>
      <c r="M23" s="19"/>
      <c r="N23" s="1"/>
      <c r="O23" s="1"/>
      <c r="P23" s="1"/>
      <c r="Q23" s="1"/>
      <c r="R23" s="1"/>
      <c r="S23" s="1"/>
      <c r="T23" s="1"/>
      <c r="U23" s="1"/>
      <c r="V23" s="1"/>
      <c r="W23" s="1"/>
      <c r="X23" s="1"/>
      <c r="Y23" s="1"/>
      <c r="Z23" s="1"/>
      <c r="AA23" s="1"/>
    </row>
    <row r="24" spans="2:27" ht="11.45" customHeight="1" x14ac:dyDescent="0.2">
      <c r="B24" s="18"/>
      <c r="C24" s="1" t="s">
        <v>16</v>
      </c>
      <c r="D24" s="1"/>
      <c r="E24" s="1"/>
      <c r="F24" s="1"/>
      <c r="G24" s="1"/>
      <c r="H24" s="12"/>
      <c r="I24" s="12"/>
      <c r="J24" s="12"/>
      <c r="K24" s="1"/>
      <c r="L24" s="1"/>
      <c r="M24" s="19"/>
      <c r="N24" s="1"/>
      <c r="O24" s="1"/>
      <c r="P24" s="1"/>
      <c r="Q24" s="1"/>
      <c r="R24" s="1"/>
      <c r="S24" s="1"/>
      <c r="T24" s="1"/>
      <c r="U24" s="1"/>
      <c r="V24" s="1"/>
      <c r="W24" s="1"/>
      <c r="X24" s="1"/>
      <c r="Y24" s="1"/>
      <c r="Z24" s="1"/>
      <c r="AA24" s="1"/>
    </row>
    <row r="25" spans="2:27" ht="11.45" customHeight="1" x14ac:dyDescent="0.2">
      <c r="B25" s="18"/>
      <c r="C25" s="1" t="s">
        <v>17</v>
      </c>
      <c r="D25" s="1"/>
      <c r="E25" s="1"/>
      <c r="F25" s="1"/>
      <c r="G25" s="1"/>
      <c r="H25" s="12"/>
      <c r="I25" s="12"/>
      <c r="J25" s="12"/>
      <c r="K25" s="1"/>
      <c r="L25" s="1"/>
      <c r="M25" s="19"/>
      <c r="N25" s="1"/>
      <c r="O25" s="1"/>
      <c r="P25" s="1"/>
      <c r="Q25" s="1"/>
      <c r="R25" s="1"/>
      <c r="S25" s="1"/>
      <c r="T25" s="1"/>
      <c r="U25" s="1"/>
      <c r="V25" s="1"/>
      <c r="W25" s="1"/>
      <c r="X25" s="1"/>
      <c r="Y25" s="1"/>
      <c r="Z25" s="1"/>
      <c r="AA25" s="1"/>
    </row>
    <row r="26" spans="2:27" ht="11.45" customHeight="1" x14ac:dyDescent="0.2">
      <c r="B26" s="18"/>
      <c r="C26" s="3"/>
      <c r="D26" s="1"/>
      <c r="E26" s="1"/>
      <c r="F26" s="1"/>
      <c r="G26" s="1"/>
      <c r="H26" s="12"/>
      <c r="I26" s="12"/>
      <c r="J26" s="12"/>
      <c r="K26" s="1"/>
      <c r="L26" s="1"/>
      <c r="M26" s="19"/>
      <c r="N26" s="1"/>
      <c r="O26" s="1"/>
      <c r="P26" s="1"/>
      <c r="Q26" s="1"/>
      <c r="R26" s="1"/>
      <c r="S26" s="1"/>
      <c r="T26" s="1"/>
      <c r="U26" s="1"/>
      <c r="V26" s="1"/>
      <c r="W26" s="1"/>
      <c r="X26" s="1"/>
      <c r="Y26" s="1"/>
      <c r="Z26" s="1"/>
      <c r="AA26" s="1"/>
    </row>
    <row r="27" spans="2:27" ht="11.45" customHeight="1" x14ac:dyDescent="0.2">
      <c r="B27" s="18"/>
      <c r="C27" s="3" t="s">
        <v>18</v>
      </c>
      <c r="D27" s="1"/>
      <c r="E27" s="1"/>
      <c r="F27" s="1"/>
      <c r="G27" s="1"/>
      <c r="H27" s="12"/>
      <c r="I27" s="12"/>
      <c r="J27" s="12"/>
      <c r="K27" s="1"/>
      <c r="L27" s="1"/>
      <c r="M27" s="19"/>
      <c r="N27" s="1"/>
      <c r="O27" s="1"/>
      <c r="P27" s="1"/>
      <c r="Q27" s="1"/>
      <c r="R27" s="1"/>
      <c r="S27" s="1"/>
      <c r="T27" s="1"/>
      <c r="U27" s="1"/>
      <c r="V27" s="1"/>
      <c r="W27" s="1"/>
      <c r="X27" s="1"/>
      <c r="Y27" s="1"/>
      <c r="Z27" s="1"/>
      <c r="AA27" s="1"/>
    </row>
    <row r="28" spans="2:27" ht="11.45" customHeight="1" x14ac:dyDescent="0.2">
      <c r="B28" s="18"/>
      <c r="C28" s="1" t="s">
        <v>19</v>
      </c>
      <c r="D28" s="1"/>
      <c r="E28" s="1"/>
      <c r="F28" s="1"/>
      <c r="G28" s="1"/>
      <c r="H28" s="12"/>
      <c r="I28" s="12"/>
      <c r="J28" s="12"/>
      <c r="K28" s="1"/>
      <c r="L28" s="1"/>
      <c r="M28" s="19"/>
      <c r="N28" s="1"/>
      <c r="O28" s="1"/>
      <c r="P28" s="1"/>
      <c r="Q28" s="1"/>
      <c r="R28" s="1"/>
      <c r="S28" s="1"/>
      <c r="T28" s="1"/>
      <c r="U28" s="1"/>
      <c r="V28" s="1"/>
      <c r="W28" s="1"/>
      <c r="X28" s="1"/>
      <c r="Y28" s="1"/>
      <c r="Z28" s="1"/>
      <c r="AA28" s="1"/>
    </row>
    <row r="29" spans="2:27" ht="11.45" customHeight="1" x14ac:dyDescent="0.2">
      <c r="B29" s="18"/>
      <c r="C29" s="1" t="s">
        <v>20</v>
      </c>
      <c r="D29" s="1"/>
      <c r="E29" s="1"/>
      <c r="F29" s="1"/>
      <c r="G29" s="1"/>
      <c r="H29" s="12"/>
      <c r="I29" s="12"/>
      <c r="J29" s="12"/>
      <c r="K29" s="1"/>
      <c r="L29" s="1"/>
      <c r="M29" s="19"/>
      <c r="N29" s="1"/>
      <c r="O29" s="1"/>
      <c r="P29" s="1"/>
      <c r="Q29" s="1"/>
      <c r="R29" s="1"/>
      <c r="S29" s="1"/>
      <c r="T29" s="1"/>
      <c r="U29" s="1"/>
      <c r="V29" s="1"/>
      <c r="W29" s="1"/>
      <c r="X29" s="1"/>
      <c r="Y29" s="1"/>
      <c r="Z29" s="1"/>
      <c r="AA29" s="1"/>
    </row>
    <row r="30" spans="2:27" ht="11.45" customHeight="1" x14ac:dyDescent="0.2">
      <c r="B30" s="18"/>
      <c r="C30" s="1" t="s">
        <v>21</v>
      </c>
      <c r="D30" s="1"/>
      <c r="E30" s="1"/>
      <c r="F30" s="1"/>
      <c r="G30" s="1"/>
      <c r="H30" s="12"/>
      <c r="I30" s="12"/>
      <c r="J30" s="12"/>
      <c r="K30" s="1"/>
      <c r="L30" s="1"/>
      <c r="M30" s="19"/>
      <c r="N30" s="1"/>
      <c r="O30" s="1"/>
      <c r="P30" s="1"/>
      <c r="Q30" s="1"/>
      <c r="R30" s="1"/>
      <c r="S30" s="1"/>
      <c r="T30" s="1"/>
      <c r="U30" s="1"/>
      <c r="V30" s="1"/>
      <c r="W30" s="1"/>
      <c r="X30" s="1"/>
      <c r="Y30" s="1"/>
      <c r="Z30" s="1"/>
      <c r="AA30" s="1"/>
    </row>
    <row r="31" spans="2:27" ht="11.45" customHeight="1" x14ac:dyDescent="0.2">
      <c r="B31" s="18"/>
      <c r="C31" s="1"/>
      <c r="D31" s="1"/>
      <c r="E31" s="1"/>
      <c r="F31" s="1"/>
      <c r="G31" s="1"/>
      <c r="H31" s="12"/>
      <c r="I31" s="12"/>
      <c r="J31" s="12"/>
      <c r="K31" s="1"/>
      <c r="L31" s="1"/>
      <c r="M31" s="19"/>
      <c r="N31" s="1"/>
      <c r="O31" s="1"/>
      <c r="P31" s="1"/>
      <c r="Q31" s="1"/>
      <c r="R31" s="1"/>
      <c r="S31" s="1"/>
      <c r="T31" s="1"/>
      <c r="U31" s="1"/>
      <c r="V31" s="1"/>
      <c r="W31" s="1"/>
      <c r="X31" s="1"/>
      <c r="Y31" s="1"/>
      <c r="Z31" s="1"/>
      <c r="AA31" s="1"/>
    </row>
    <row r="32" spans="2:27" ht="11.45" customHeight="1" x14ac:dyDescent="0.2">
      <c r="B32" s="18"/>
      <c r="C32" s="9" t="s">
        <v>22</v>
      </c>
      <c r="D32" s="1"/>
      <c r="E32" s="1"/>
      <c r="F32" s="1"/>
      <c r="G32" s="1"/>
      <c r="H32" s="12"/>
      <c r="I32" s="12"/>
      <c r="J32" s="12"/>
      <c r="K32" s="1"/>
      <c r="L32" s="1"/>
      <c r="M32" s="19"/>
      <c r="N32" s="1"/>
      <c r="O32" s="1"/>
      <c r="P32" s="1"/>
      <c r="Q32" s="1"/>
      <c r="R32" s="1"/>
      <c r="S32" s="1"/>
      <c r="T32" s="1"/>
      <c r="U32" s="1"/>
      <c r="V32" s="1"/>
      <c r="W32" s="12"/>
      <c r="X32" s="12"/>
      <c r="Y32" s="12"/>
      <c r="Z32" s="1"/>
      <c r="AA32" s="1"/>
    </row>
    <row r="33" spans="2:27" ht="11.45" customHeight="1" x14ac:dyDescent="0.2">
      <c r="B33" s="18"/>
      <c r="C33" s="20" t="s">
        <v>23</v>
      </c>
      <c r="D33" s="1"/>
      <c r="E33" s="1"/>
      <c r="F33" s="1"/>
      <c r="G33" s="1"/>
      <c r="H33" s="12"/>
      <c r="I33" s="12"/>
      <c r="J33" s="12"/>
      <c r="K33" s="1"/>
      <c r="L33" s="1"/>
      <c r="M33" s="19"/>
      <c r="N33" s="1"/>
      <c r="O33" s="1"/>
      <c r="P33" s="1"/>
      <c r="Q33" s="1"/>
      <c r="R33" s="1"/>
      <c r="S33" s="1"/>
      <c r="T33" s="1"/>
      <c r="U33" s="1"/>
      <c r="V33" s="1"/>
      <c r="W33" s="12"/>
      <c r="X33" s="12"/>
      <c r="Y33" s="12"/>
      <c r="Z33" s="1"/>
      <c r="AA33" s="1"/>
    </row>
    <row r="34" spans="2:27" ht="11.45" customHeight="1" x14ac:dyDescent="0.2">
      <c r="B34" s="18"/>
      <c r="C34" s="1" t="s">
        <v>24</v>
      </c>
      <c r="D34" s="1"/>
      <c r="E34" s="1"/>
      <c r="F34" s="1"/>
      <c r="G34" s="1"/>
      <c r="H34" s="12"/>
      <c r="I34" s="12"/>
      <c r="J34" s="12"/>
      <c r="K34" s="1"/>
      <c r="L34" s="1"/>
      <c r="M34" s="19"/>
      <c r="N34" s="1"/>
      <c r="O34" s="1"/>
      <c r="P34" s="1"/>
      <c r="Q34" s="1"/>
      <c r="R34" s="1"/>
      <c r="S34" s="1"/>
      <c r="T34" s="1"/>
      <c r="U34" s="1"/>
      <c r="V34" s="1"/>
      <c r="W34" s="12"/>
      <c r="X34" s="12"/>
      <c r="Y34" s="12"/>
      <c r="Z34" s="1"/>
      <c r="AA34" s="1"/>
    </row>
    <row r="35" spans="2:27" ht="11.45" customHeight="1" x14ac:dyDescent="0.2">
      <c r="B35" s="18"/>
      <c r="C35" s="1" t="s">
        <v>25</v>
      </c>
      <c r="D35" s="1"/>
      <c r="E35" s="1"/>
      <c r="F35" s="1"/>
      <c r="G35" s="1"/>
      <c r="H35" s="12"/>
      <c r="I35" s="12"/>
      <c r="J35" s="12"/>
      <c r="K35" s="1"/>
      <c r="L35" s="1"/>
      <c r="M35" s="19"/>
      <c r="N35" s="1"/>
      <c r="O35" s="1"/>
      <c r="P35" s="1"/>
      <c r="Q35" s="1"/>
      <c r="R35" s="1"/>
      <c r="S35" s="1"/>
      <c r="T35" s="1"/>
      <c r="U35" s="1"/>
      <c r="V35" s="1"/>
      <c r="W35" s="12"/>
      <c r="X35" s="12"/>
      <c r="Y35" s="12"/>
      <c r="Z35" s="1"/>
      <c r="AA35" s="1"/>
    </row>
    <row r="36" spans="2:27" ht="11.45" customHeight="1" x14ac:dyDescent="0.2">
      <c r="B36" s="18"/>
      <c r="C36" s="20"/>
      <c r="D36" s="1"/>
      <c r="E36" s="1"/>
      <c r="F36" s="1"/>
      <c r="G36" s="1"/>
      <c r="H36" s="12"/>
      <c r="I36" s="12"/>
      <c r="J36" s="12"/>
      <c r="K36" s="1"/>
      <c r="L36" s="1"/>
      <c r="M36" s="19"/>
      <c r="N36" s="1"/>
      <c r="O36" s="1"/>
      <c r="P36" s="1"/>
      <c r="Q36" s="1"/>
      <c r="R36" s="1"/>
      <c r="S36" s="1"/>
      <c r="T36" s="1"/>
      <c r="U36" s="1"/>
      <c r="V36" s="1"/>
      <c r="W36" s="12"/>
      <c r="X36" s="12"/>
      <c r="Y36" s="12"/>
      <c r="Z36" s="1"/>
      <c r="AA36" s="1"/>
    </row>
    <row r="37" spans="2:27" ht="11.45" customHeight="1" x14ac:dyDescent="0.2">
      <c r="B37" s="18"/>
      <c r="C37" s="3" t="s">
        <v>26</v>
      </c>
      <c r="D37" s="1"/>
      <c r="E37" s="1"/>
      <c r="F37" s="1"/>
      <c r="G37" s="1"/>
      <c r="H37" s="12"/>
      <c r="I37" s="12"/>
      <c r="J37" s="12"/>
      <c r="K37" s="1"/>
      <c r="L37" s="1"/>
      <c r="M37" s="19"/>
      <c r="N37" s="1"/>
      <c r="O37" s="1"/>
      <c r="P37" s="1"/>
      <c r="Q37" s="1"/>
      <c r="R37" s="1"/>
      <c r="S37" s="1"/>
      <c r="T37" s="1"/>
      <c r="U37" s="1"/>
      <c r="V37" s="1"/>
      <c r="W37" s="12"/>
      <c r="X37" s="12"/>
      <c r="Y37" s="12"/>
      <c r="Z37" s="1"/>
      <c r="AA37" s="1"/>
    </row>
    <row r="38" spans="2:27" ht="11.45" customHeight="1" x14ac:dyDescent="0.2">
      <c r="B38" s="18"/>
      <c r="C38" s="1" t="s">
        <v>27</v>
      </c>
      <c r="D38" s="1"/>
      <c r="E38" s="1"/>
      <c r="F38" s="1"/>
      <c r="G38" s="1"/>
      <c r="H38" s="12"/>
      <c r="I38" s="12"/>
      <c r="J38" s="12"/>
      <c r="K38" s="90"/>
      <c r="L38" s="1"/>
      <c r="M38" s="19"/>
      <c r="N38" s="1"/>
      <c r="O38" s="1"/>
      <c r="P38" s="1"/>
      <c r="Q38" s="1"/>
      <c r="R38" s="1"/>
      <c r="S38" s="1"/>
      <c r="T38" s="1"/>
      <c r="U38" s="1"/>
      <c r="V38" s="1"/>
      <c r="W38" s="12"/>
      <c r="X38" s="12"/>
      <c r="Y38" s="12"/>
      <c r="Z38" s="1"/>
      <c r="AA38" s="1"/>
    </row>
    <row r="39" spans="2:27" ht="11.45" customHeight="1" x14ac:dyDescent="0.2">
      <c r="B39" s="18"/>
      <c r="C39" s="1" t="s">
        <v>28</v>
      </c>
      <c r="D39" s="1"/>
      <c r="E39" s="1"/>
      <c r="F39" s="1"/>
      <c r="G39" s="1"/>
      <c r="H39" s="12"/>
      <c r="I39" s="12"/>
      <c r="J39" s="12"/>
      <c r="K39" s="90"/>
      <c r="L39" s="1"/>
      <c r="M39" s="19"/>
      <c r="N39" s="1"/>
      <c r="O39" s="1"/>
      <c r="P39" s="1"/>
      <c r="Q39" s="1"/>
      <c r="R39" s="1"/>
      <c r="S39" s="1"/>
      <c r="T39" s="1"/>
      <c r="U39" s="1"/>
      <c r="V39" s="1"/>
      <c r="W39" s="12"/>
      <c r="X39" s="12"/>
      <c r="Y39" s="12"/>
      <c r="Z39" s="1"/>
      <c r="AA39" s="1"/>
    </row>
    <row r="40" spans="2:27" ht="11.45" customHeight="1" x14ac:dyDescent="0.2">
      <c r="B40" s="18"/>
      <c r="C40" s="1" t="s">
        <v>29</v>
      </c>
      <c r="D40" s="1"/>
      <c r="E40" s="89">
        <f>tabellen!C15</f>
        <v>0</v>
      </c>
      <c r="F40" s="1"/>
      <c r="G40" s="1"/>
      <c r="H40" s="12"/>
      <c r="I40" s="12"/>
      <c r="J40" s="12"/>
      <c r="K40" s="1"/>
      <c r="L40" s="1"/>
      <c r="M40" s="19"/>
      <c r="N40" s="1"/>
      <c r="O40" s="1"/>
      <c r="P40" s="1"/>
      <c r="Q40" s="1"/>
      <c r="R40" s="1"/>
      <c r="S40" s="1"/>
      <c r="T40" s="1"/>
      <c r="U40" s="1"/>
      <c r="V40" s="1"/>
      <c r="W40" s="12"/>
      <c r="X40" s="12"/>
      <c r="Y40" s="12"/>
      <c r="Z40" s="1"/>
      <c r="AA40" s="1"/>
    </row>
    <row r="41" spans="2:27" ht="11.45" customHeight="1" x14ac:dyDescent="0.2">
      <c r="B41" s="18"/>
      <c r="C41" s="1" t="s">
        <v>30</v>
      </c>
      <c r="D41" s="1"/>
      <c r="E41" s="89">
        <f>tabellen!C16</f>
        <v>4.7500000000000001E-2</v>
      </c>
      <c r="F41" s="1"/>
      <c r="G41" s="1"/>
      <c r="H41" s="12"/>
      <c r="I41" s="12"/>
      <c r="J41" s="12"/>
      <c r="K41" s="1"/>
      <c r="L41" s="1"/>
      <c r="M41" s="19"/>
      <c r="N41" s="1"/>
      <c r="O41" s="1"/>
      <c r="P41" s="1"/>
      <c r="Q41" s="1"/>
      <c r="R41" s="1"/>
      <c r="S41" s="1"/>
      <c r="T41" s="1"/>
      <c r="U41" s="1"/>
      <c r="V41" s="1"/>
      <c r="W41" s="12"/>
      <c r="X41" s="12"/>
      <c r="Y41" s="12"/>
      <c r="Z41" s="1"/>
      <c r="AA41" s="1"/>
    </row>
    <row r="42" spans="2:27" ht="11.45" customHeight="1" x14ac:dyDescent="0.2">
      <c r="B42" s="18"/>
      <c r="C42" s="1" t="s">
        <v>31</v>
      </c>
      <c r="D42" s="1"/>
      <c r="E42" s="89">
        <f>tabellen!C17</f>
        <v>2.8000000000000001E-2</v>
      </c>
      <c r="F42" s="1" t="s">
        <v>32</v>
      </c>
      <c r="G42" s="1"/>
      <c r="H42" s="12"/>
      <c r="I42" s="12"/>
      <c r="J42" s="12"/>
      <c r="K42" s="1"/>
      <c r="L42" s="1"/>
      <c r="M42" s="19"/>
      <c r="N42" s="1"/>
      <c r="O42" s="1"/>
      <c r="P42" s="1"/>
      <c r="Q42" s="1"/>
      <c r="R42" s="1"/>
      <c r="S42" s="1"/>
      <c r="T42" s="1"/>
      <c r="U42" s="1"/>
      <c r="V42" s="1"/>
      <c r="W42" s="12"/>
      <c r="X42" s="12"/>
      <c r="Y42" s="12"/>
      <c r="Z42" s="1"/>
      <c r="AA42" s="1"/>
    </row>
    <row r="43" spans="2:27" ht="11.45" customHeight="1" x14ac:dyDescent="0.2">
      <c r="B43" s="18"/>
      <c r="C43" s="1" t="s">
        <v>33</v>
      </c>
      <c r="D43" s="1"/>
      <c r="E43" s="89">
        <f>tabellen!C18</f>
        <v>2.2499999999999999E-2</v>
      </c>
      <c r="F43" s="1" t="s">
        <v>34</v>
      </c>
      <c r="G43" s="1"/>
      <c r="H43" s="12"/>
      <c r="I43" s="12"/>
      <c r="J43" s="12"/>
      <c r="K43" s="1"/>
      <c r="L43" s="1"/>
      <c r="M43" s="19"/>
      <c r="N43" s="1"/>
      <c r="O43" s="1"/>
      <c r="P43" s="1"/>
      <c r="Q43" s="1"/>
      <c r="R43" s="1"/>
      <c r="S43" s="1"/>
      <c r="T43" s="1"/>
      <c r="U43" s="1"/>
      <c r="V43" s="1"/>
      <c r="W43" s="12"/>
      <c r="X43" s="12"/>
      <c r="Y43" s="12"/>
      <c r="Z43" s="1"/>
      <c r="AA43" s="1"/>
    </row>
    <row r="44" spans="2:27" ht="11.45" customHeight="1" x14ac:dyDescent="0.2">
      <c r="B44" s="18"/>
      <c r="C44" s="1" t="s">
        <v>35</v>
      </c>
      <c r="D44" s="1"/>
      <c r="E44" s="89">
        <f>tabellen!C19</f>
        <v>3.5000000000000001E-3</v>
      </c>
      <c r="F44" s="1" t="s">
        <v>36</v>
      </c>
      <c r="G44" s="1"/>
      <c r="H44" s="1"/>
      <c r="I44" s="1"/>
      <c r="J44" s="1"/>
      <c r="K44" s="1"/>
      <c r="L44" s="1"/>
      <c r="M44" s="158"/>
      <c r="N44" s="159"/>
      <c r="O44" s="1"/>
      <c r="P44" s="1"/>
      <c r="Q44" s="1"/>
      <c r="R44" s="1"/>
      <c r="S44" s="1"/>
      <c r="T44" s="1"/>
      <c r="U44" s="1"/>
      <c r="V44" s="1"/>
      <c r="W44" s="12"/>
      <c r="X44" s="12"/>
      <c r="Y44" s="12"/>
      <c r="Z44" s="1"/>
      <c r="AA44" s="1"/>
    </row>
    <row r="45" spans="2:27" ht="11.45" customHeight="1" x14ac:dyDescent="0.2">
      <c r="B45" s="18"/>
      <c r="C45" s="1" t="s">
        <v>37</v>
      </c>
      <c r="D45" s="1"/>
      <c r="E45" s="89">
        <f>tabellen!C20</f>
        <v>1.5E-3</v>
      </c>
      <c r="F45" s="1" t="s">
        <v>38</v>
      </c>
      <c r="G45" s="1"/>
      <c r="H45" s="1"/>
      <c r="I45" s="1"/>
      <c r="J45" s="1"/>
      <c r="K45" s="1"/>
      <c r="L45" s="1"/>
      <c r="M45" s="158"/>
      <c r="N45" s="159"/>
      <c r="O45" s="1"/>
      <c r="P45" s="1"/>
      <c r="Q45" s="1"/>
      <c r="R45" s="1"/>
      <c r="S45" s="1"/>
      <c r="T45" s="1"/>
      <c r="U45" s="1"/>
      <c r="V45" s="1"/>
      <c r="W45" s="1"/>
      <c r="X45" s="1"/>
      <c r="Y45" s="1"/>
      <c r="Z45" s="1"/>
      <c r="AA45" s="1"/>
    </row>
    <row r="46" spans="2:27" ht="11.45" customHeight="1" x14ac:dyDescent="0.2">
      <c r="B46" s="18"/>
      <c r="C46" s="1" t="s">
        <v>39</v>
      </c>
      <c r="D46" s="1"/>
      <c r="E46" s="89">
        <f>tabellen!C21</f>
        <v>0</v>
      </c>
      <c r="F46" s="1"/>
      <c r="G46" s="1"/>
      <c r="H46" s="1"/>
      <c r="I46" s="1"/>
      <c r="J46" s="1"/>
      <c r="K46" s="1"/>
      <c r="L46" s="1"/>
      <c r="M46" s="158"/>
      <c r="N46" s="159"/>
      <c r="O46" s="1"/>
      <c r="P46" s="1"/>
      <c r="Q46" s="1"/>
      <c r="R46" s="1"/>
      <c r="S46" s="1"/>
      <c r="T46" s="1"/>
      <c r="U46" s="1"/>
      <c r="V46" s="1"/>
      <c r="W46" s="1"/>
      <c r="X46" s="1"/>
      <c r="Y46" s="1"/>
      <c r="Z46" s="1"/>
      <c r="AA46" s="1"/>
    </row>
    <row r="47" spans="2:27" ht="11.45" customHeight="1" x14ac:dyDescent="0.2">
      <c r="B47" s="18"/>
      <c r="C47" s="1"/>
      <c r="D47" s="1"/>
      <c r="E47" s="89"/>
      <c r="F47" s="1"/>
      <c r="G47" s="1"/>
      <c r="H47" s="1"/>
      <c r="I47" s="1"/>
      <c r="J47" s="1"/>
      <c r="K47" s="1"/>
      <c r="L47" s="1"/>
      <c r="M47" s="158"/>
      <c r="N47" s="159"/>
      <c r="O47" s="1"/>
      <c r="P47" s="1"/>
      <c r="Q47" s="1"/>
      <c r="R47" s="1"/>
      <c r="S47" s="1"/>
      <c r="T47" s="1"/>
      <c r="U47" s="1"/>
      <c r="V47" s="1"/>
      <c r="W47" s="1"/>
      <c r="X47" s="1"/>
      <c r="Y47" s="1"/>
      <c r="Z47" s="1"/>
      <c r="AA47" s="1"/>
    </row>
    <row r="48" spans="2:27" ht="11.45" customHeight="1" x14ac:dyDescent="0.2">
      <c r="B48" s="18"/>
      <c r="C48" s="1" t="s">
        <v>40</v>
      </c>
      <c r="D48" s="1"/>
      <c r="E48" s="1"/>
      <c r="F48" s="1"/>
      <c r="G48" s="1"/>
      <c r="H48" s="1"/>
      <c r="I48" s="1"/>
      <c r="J48" s="1"/>
      <c r="K48" s="1"/>
      <c r="L48" s="1"/>
      <c r="M48" s="158"/>
      <c r="N48" s="159"/>
      <c r="O48" s="1"/>
      <c r="P48" s="1"/>
      <c r="Q48" s="1"/>
      <c r="R48" s="1"/>
      <c r="S48" s="1"/>
      <c r="T48" s="1"/>
      <c r="U48" s="1"/>
      <c r="V48" s="1"/>
      <c r="W48" s="1"/>
      <c r="X48" s="1"/>
      <c r="Y48" s="1"/>
      <c r="Z48" s="1"/>
      <c r="AA48" s="1"/>
    </row>
    <row r="49" spans="2:27" ht="11.45" customHeight="1" x14ac:dyDescent="0.2">
      <c r="B49" s="18"/>
      <c r="C49" s="1"/>
      <c r="D49" s="1"/>
      <c r="E49" s="1"/>
      <c r="F49" s="1"/>
      <c r="G49" s="1"/>
      <c r="H49" s="1"/>
      <c r="I49" s="1"/>
      <c r="J49" s="1"/>
      <c r="K49" s="1"/>
      <c r="L49" s="1"/>
      <c r="M49" s="158"/>
      <c r="N49" s="159"/>
      <c r="O49" s="1"/>
      <c r="P49" s="1"/>
      <c r="Q49" s="1"/>
      <c r="R49" s="1"/>
      <c r="S49" s="1"/>
      <c r="T49" s="1"/>
      <c r="U49" s="1"/>
      <c r="V49" s="1"/>
      <c r="W49" s="1"/>
      <c r="X49" s="1"/>
      <c r="Y49" s="1"/>
      <c r="Z49" s="1"/>
      <c r="AA49" s="1"/>
    </row>
    <row r="50" spans="2:27" ht="11.45" customHeight="1" x14ac:dyDescent="0.2">
      <c r="B50" s="18"/>
      <c r="C50" s="11" t="s">
        <v>41</v>
      </c>
      <c r="D50" s="1"/>
      <c r="E50" s="1"/>
      <c r="F50" s="90">
        <f>tabellen!C22</f>
        <v>1.7500000000000002E-2</v>
      </c>
      <c r="G50" s="1"/>
      <c r="H50" s="1"/>
      <c r="I50" s="1"/>
      <c r="J50" s="1"/>
      <c r="K50" s="1"/>
      <c r="L50" s="1"/>
      <c r="M50" s="158"/>
      <c r="N50" s="159"/>
      <c r="O50" s="1"/>
      <c r="P50" s="1"/>
      <c r="Q50" s="1"/>
      <c r="R50" s="1"/>
      <c r="S50" s="1"/>
      <c r="T50" s="1"/>
      <c r="U50" s="1"/>
      <c r="V50" s="1"/>
      <c r="W50" s="1"/>
      <c r="X50" s="1"/>
      <c r="Y50" s="1"/>
      <c r="Z50" s="1"/>
      <c r="AA50" s="1"/>
    </row>
    <row r="51" spans="2:27" ht="11.45" customHeight="1" x14ac:dyDescent="0.2">
      <c r="B51" s="18"/>
      <c r="C51" s="1"/>
      <c r="D51" s="1"/>
      <c r="E51" s="1"/>
      <c r="F51" s="1"/>
      <c r="G51" s="1"/>
      <c r="H51" s="12"/>
      <c r="I51" s="12"/>
      <c r="J51" s="12"/>
      <c r="K51" s="1"/>
      <c r="L51" s="1"/>
      <c r="M51" s="19"/>
      <c r="N51" s="1"/>
      <c r="O51" s="1"/>
      <c r="P51" s="1"/>
      <c r="Q51" s="1"/>
      <c r="R51" s="1"/>
      <c r="S51" s="1"/>
      <c r="T51" s="1"/>
      <c r="U51" s="1"/>
      <c r="V51" s="1"/>
      <c r="W51" s="1"/>
      <c r="X51" s="1"/>
      <c r="Y51" s="1"/>
      <c r="Z51" s="1"/>
      <c r="AA51" s="1"/>
    </row>
    <row r="52" spans="2:27" ht="11.45" customHeight="1" x14ac:dyDescent="0.2">
      <c r="B52" s="18"/>
      <c r="C52" s="2" t="s">
        <v>42</v>
      </c>
      <c r="D52" s="1"/>
      <c r="E52" s="1"/>
      <c r="F52" s="1"/>
      <c r="G52" s="1"/>
      <c r="H52" s="12"/>
      <c r="I52" s="12"/>
      <c r="J52" s="12"/>
      <c r="K52" s="1"/>
      <c r="L52" s="1"/>
      <c r="M52" s="19"/>
      <c r="N52" s="1"/>
      <c r="O52" s="1"/>
      <c r="P52" s="1"/>
      <c r="Q52" s="1"/>
      <c r="R52" s="1"/>
      <c r="S52" s="1"/>
      <c r="T52" s="1"/>
      <c r="U52" s="1"/>
      <c r="V52" s="1"/>
      <c r="W52" s="1"/>
      <c r="X52" s="1"/>
      <c r="Y52" s="1"/>
      <c r="Z52" s="1"/>
      <c r="AA52" s="1"/>
    </row>
    <row r="53" spans="2:27" ht="11.45" customHeight="1" x14ac:dyDescent="0.2">
      <c r="B53" s="18"/>
      <c r="C53" s="1" t="s">
        <v>43</v>
      </c>
      <c r="D53" s="1"/>
      <c r="E53" s="1"/>
      <c r="F53" s="1"/>
      <c r="G53" s="1"/>
      <c r="H53" s="12"/>
      <c r="I53" s="12"/>
      <c r="J53" s="12"/>
      <c r="K53" s="1"/>
      <c r="L53" s="1"/>
      <c r="M53" s="19"/>
      <c r="N53" s="1"/>
      <c r="O53" s="1"/>
      <c r="P53" s="1"/>
      <c r="Q53" s="1"/>
      <c r="R53" s="1"/>
      <c r="S53" s="1"/>
      <c r="T53" s="1"/>
      <c r="U53" s="1"/>
      <c r="V53" s="1"/>
      <c r="W53" s="1"/>
      <c r="X53" s="1"/>
      <c r="Y53" s="1"/>
      <c r="Z53" s="1"/>
      <c r="AA53" s="1"/>
    </row>
    <row r="54" spans="2:27" ht="11.45" customHeight="1" x14ac:dyDescent="0.2">
      <c r="B54" s="18"/>
      <c r="C54" s="1" t="s">
        <v>44</v>
      </c>
      <c r="D54" s="1"/>
      <c r="E54" s="1"/>
      <c r="F54" s="1"/>
      <c r="G54" s="1"/>
      <c r="H54" s="12"/>
      <c r="I54" s="12"/>
      <c r="J54" s="12"/>
      <c r="K54" s="1"/>
      <c r="L54" s="1"/>
      <c r="M54" s="19"/>
      <c r="N54" s="1"/>
      <c r="O54" s="1"/>
      <c r="P54" s="1"/>
      <c r="Q54" s="1"/>
      <c r="R54" s="1"/>
      <c r="S54" s="1"/>
      <c r="T54" s="1"/>
      <c r="U54" s="1"/>
      <c r="V54" s="1"/>
      <c r="W54" s="1"/>
      <c r="X54" s="1"/>
      <c r="Y54" s="1"/>
      <c r="Z54" s="1"/>
      <c r="AA54" s="1"/>
    </row>
    <row r="55" spans="2:27" ht="11.45" customHeight="1" x14ac:dyDescent="0.2">
      <c r="B55" s="18"/>
      <c r="C55" s="1" t="s">
        <v>45</v>
      </c>
      <c r="D55" s="1"/>
      <c r="E55" s="1"/>
      <c r="F55" s="1"/>
      <c r="G55" s="1"/>
      <c r="H55" s="12"/>
      <c r="I55" s="12"/>
      <c r="J55" s="12"/>
      <c r="K55" s="1"/>
      <c r="L55" s="1"/>
      <c r="M55" s="19"/>
      <c r="N55" s="1"/>
      <c r="O55" s="1"/>
      <c r="P55" s="1"/>
      <c r="Q55" s="1"/>
      <c r="R55" s="1"/>
      <c r="S55" s="1"/>
      <c r="T55" s="1"/>
      <c r="U55" s="1"/>
      <c r="V55" s="1"/>
      <c r="W55" s="1"/>
      <c r="X55" s="1"/>
      <c r="Y55" s="1"/>
      <c r="Z55" s="1"/>
      <c r="AA55" s="1"/>
    </row>
    <row r="56" spans="2:27" ht="11.45" customHeight="1" x14ac:dyDescent="0.2">
      <c r="B56" s="18"/>
      <c r="C56" s="1" t="s">
        <v>46</v>
      </c>
      <c r="D56" s="1"/>
      <c r="E56" s="1"/>
      <c r="F56" s="1"/>
      <c r="G56" s="1"/>
      <c r="H56" s="12"/>
      <c r="I56" s="12"/>
      <c r="J56" s="12"/>
      <c r="K56" s="1"/>
      <c r="L56" s="1"/>
      <c r="M56" s="19"/>
      <c r="N56" s="1"/>
      <c r="O56" s="1"/>
      <c r="P56" s="1"/>
      <c r="Q56" s="1"/>
      <c r="R56" s="1"/>
      <c r="S56" s="1"/>
      <c r="T56" s="1"/>
      <c r="U56" s="1"/>
      <c r="V56" s="1"/>
      <c r="W56" s="1"/>
      <c r="X56" s="1"/>
      <c r="Y56" s="1"/>
      <c r="Z56" s="1"/>
      <c r="AA56" s="1"/>
    </row>
    <row r="57" spans="2:27" ht="11.45" customHeight="1" x14ac:dyDescent="0.2">
      <c r="B57" s="18"/>
      <c r="C57" s="1"/>
      <c r="D57" s="1"/>
      <c r="E57" s="1"/>
      <c r="F57" s="1"/>
      <c r="G57" s="1"/>
      <c r="H57" s="12"/>
      <c r="I57" s="12"/>
      <c r="J57" s="12"/>
      <c r="K57" s="1"/>
      <c r="L57" s="1"/>
      <c r="M57" s="19"/>
      <c r="N57" s="1"/>
      <c r="O57" s="1"/>
      <c r="P57" s="1"/>
      <c r="Q57" s="1"/>
      <c r="R57" s="1"/>
      <c r="S57" s="1"/>
      <c r="T57" s="1"/>
      <c r="U57" s="1"/>
      <c r="V57" s="1"/>
      <c r="W57" s="1"/>
      <c r="X57" s="1"/>
      <c r="Y57" s="1"/>
      <c r="Z57" s="1"/>
      <c r="AA57" s="1"/>
    </row>
    <row r="58" spans="2:27" s="1" customFormat="1" ht="11.45" customHeight="1" x14ac:dyDescent="0.2">
      <c r="B58" s="21"/>
      <c r="C58" s="3" t="s">
        <v>47</v>
      </c>
      <c r="M58" s="19"/>
    </row>
    <row r="59" spans="2:27" s="1" customFormat="1" ht="11.45" customHeight="1" x14ac:dyDescent="0.2">
      <c r="B59" s="21"/>
      <c r="C59" s="101" t="s">
        <v>48</v>
      </c>
      <c r="J59" s="13"/>
      <c r="M59" s="19"/>
    </row>
    <row r="60" spans="2:27" ht="11.45" customHeight="1" x14ac:dyDescent="0.25">
      <c r="B60" s="21"/>
      <c r="C60" s="3"/>
      <c r="D60" s="1"/>
      <c r="E60" s="3"/>
      <c r="F60" s="1"/>
      <c r="G60" s="1"/>
      <c r="H60" s="1"/>
      <c r="I60" s="1"/>
      <c r="J60" s="14"/>
      <c r="K60" s="1"/>
      <c r="L60" s="1"/>
      <c r="M60" s="22"/>
      <c r="N60" s="1"/>
      <c r="O60" s="1"/>
      <c r="P60" s="1"/>
      <c r="Q60" s="1"/>
      <c r="R60" s="1"/>
      <c r="S60" s="1"/>
      <c r="T60" s="1"/>
      <c r="U60" s="1"/>
      <c r="V60" s="1"/>
      <c r="W60" s="1"/>
      <c r="X60" s="1"/>
      <c r="Y60" s="1"/>
      <c r="Z60" s="1"/>
      <c r="AA60" s="1"/>
    </row>
    <row r="61" spans="2:27" ht="11.45" customHeight="1" x14ac:dyDescent="0.2">
      <c r="B61" s="23"/>
      <c r="C61" s="24"/>
      <c r="D61" s="25"/>
      <c r="E61" s="25"/>
      <c r="F61" s="25"/>
      <c r="G61" s="25"/>
      <c r="H61" s="25"/>
      <c r="I61" s="25"/>
      <c r="J61" s="26"/>
      <c r="K61" s="25"/>
      <c r="L61" s="25"/>
      <c r="M61" s="160"/>
      <c r="N61" s="1"/>
      <c r="O61" s="1"/>
      <c r="P61" s="1"/>
      <c r="Q61" s="1"/>
      <c r="R61" s="1"/>
      <c r="S61" s="1"/>
      <c r="T61" s="1"/>
      <c r="U61" s="1"/>
      <c r="V61" s="1"/>
      <c r="W61" s="1"/>
      <c r="X61" s="1"/>
      <c r="Y61" s="1"/>
      <c r="Z61" s="1"/>
      <c r="AA61" s="1"/>
    </row>
  </sheetData>
  <sheetProtection algorithmName="SHA-512" hashValue="547e8Mg4Ae+E0vmKEPbPFrbxm7wWQnWVlW3Fjn7MLTmiPL9yPSMvA/Znn8OA2E8lhJncTR1pjvkJFl31F6Rlrg==" saltValue="TIlOqovGtoZIEPG7buEOvg==" spinCount="100000" sheet="1" objects="1" scenarios="1"/>
  <phoneticPr fontId="4" type="noConversion"/>
  <printOptions gridLines="1"/>
  <pageMargins left="0.74803149606299213" right="0.74803149606299213" top="0.98425196850393704" bottom="0.98425196850393704" header="0.51181102362204722" footer="0.51181102362204722"/>
  <pageSetup paperSize="9" scale="62" orientation="portrait" r:id="rId1"/>
  <headerFooter alignWithMargins="0">
    <oddHeader>&amp;L&amp;"Arial,Vet"&amp;A&amp;R&amp;"Arial,Vet"&amp;F</oddHeader>
    <oddFooter>&amp;L&amp;"Arial,Vet"&amp;8PO-Raad&amp;R&amp;"Arial,Vet"&amp;P</oddFooter>
  </headerFooter>
  <rowBreaks count="1" manualBreakCount="1">
    <brk id="60" min="1"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194"/>
  <sheetViews>
    <sheetView showGridLines="0" zoomScale="90" zoomScaleNormal="90" zoomScaleSheetLayoutView="85" workbookViewId="0">
      <selection activeCell="G18" sqref="G18"/>
    </sheetView>
  </sheetViews>
  <sheetFormatPr defaultColWidth="9.7109375" defaultRowHeight="12" customHeight="1" x14ac:dyDescent="0.2"/>
  <cols>
    <col min="1" max="1" width="3.5703125" style="27" customWidth="1"/>
    <col min="2" max="3" width="2.7109375" style="33" customWidth="1"/>
    <col min="4" max="4" width="34.42578125" style="33" customWidth="1"/>
    <col min="5" max="5" width="10.5703125" style="51" customWidth="1"/>
    <col min="6" max="6" width="1.140625" style="33" customWidth="1"/>
    <col min="7" max="7" width="11.7109375" style="51" customWidth="1"/>
    <col min="8" max="8" width="0.85546875" style="51" customWidth="1"/>
    <col min="9" max="9" width="11.7109375" style="51" customWidth="1"/>
    <col min="10" max="12" width="1.7109375" style="33" customWidth="1"/>
    <col min="13" max="13" width="26.5703125" style="33" customWidth="1"/>
    <col min="14" max="15" width="9.5703125" style="33" customWidth="1"/>
    <col min="16" max="16" width="1.140625" style="33" customWidth="1"/>
    <col min="17" max="17" width="13.85546875" style="51" customWidth="1"/>
    <col min="18" max="18" width="11.140625" style="51" customWidth="1"/>
    <col min="19" max="19" width="2.7109375" style="51" customWidth="1"/>
    <col min="20" max="20" width="2.7109375" style="33" customWidth="1"/>
    <col min="21" max="21" width="9.7109375" style="27"/>
    <col min="22" max="23" width="12" style="27" bestFit="1" customWidth="1"/>
    <col min="24" max="58" width="9.7109375" style="27"/>
    <col min="59" max="16384" width="9.7109375" style="33"/>
  </cols>
  <sheetData>
    <row r="1" spans="1:58" s="27" customFormat="1" ht="12" customHeight="1" x14ac:dyDescent="0.2">
      <c r="E1" s="28"/>
      <c r="G1" s="28"/>
      <c r="H1" s="28"/>
      <c r="I1" s="28"/>
      <c r="Q1" s="28"/>
      <c r="R1" s="28"/>
      <c r="S1" s="28"/>
    </row>
    <row r="2" spans="1:58" ht="12" customHeight="1" x14ac:dyDescent="0.2">
      <c r="B2" s="29"/>
      <c r="C2" s="30"/>
      <c r="D2" s="30"/>
      <c r="E2" s="31"/>
      <c r="F2" s="30"/>
      <c r="G2" s="31"/>
      <c r="H2" s="31"/>
      <c r="I2" s="31"/>
      <c r="J2" s="30"/>
      <c r="K2" s="30"/>
      <c r="L2" s="30"/>
      <c r="M2" s="30"/>
      <c r="N2" s="30"/>
      <c r="O2" s="30"/>
      <c r="P2" s="30"/>
      <c r="Q2" s="31"/>
      <c r="R2" s="31"/>
      <c r="S2" s="31"/>
      <c r="T2" s="32"/>
    </row>
    <row r="3" spans="1:58" s="42" customFormat="1" ht="19.149999999999999" customHeight="1" x14ac:dyDescent="0.2">
      <c r="A3" s="37"/>
      <c r="B3" s="38"/>
      <c r="C3" s="39" t="str">
        <f>"WERKGEVERSLASTEN PO "&amp;tabellen!B3</f>
        <v>WERKGEVERSLASTEN PO 2024</v>
      </c>
      <c r="D3" s="40"/>
      <c r="E3" s="41"/>
      <c r="F3" s="40"/>
      <c r="G3" s="41"/>
      <c r="H3" s="41"/>
      <c r="I3" s="41"/>
      <c r="J3" s="40"/>
      <c r="K3" s="40"/>
      <c r="L3" s="277"/>
      <c r="M3" s="277"/>
      <c r="N3" s="277"/>
      <c r="O3" s="277"/>
      <c r="P3" s="277"/>
      <c r="Q3" s="277"/>
      <c r="R3" s="277"/>
      <c r="S3" s="277"/>
      <c r="T3" s="278"/>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row>
    <row r="4" spans="1:58" s="48" customFormat="1" ht="15" customHeight="1" x14ac:dyDescent="0.2">
      <c r="A4" s="43"/>
      <c r="B4" s="44"/>
      <c r="C4" s="282" t="str">
        <f>+tabellen!C3 &amp;" "&amp; tabellen!B3</f>
        <v>vanaf 1-1 2024</v>
      </c>
      <c r="D4" s="45"/>
      <c r="E4" s="46"/>
      <c r="F4" s="45"/>
      <c r="G4" s="47"/>
      <c r="H4" s="46"/>
      <c r="I4" s="47"/>
      <c r="J4" s="45"/>
      <c r="K4" s="45"/>
      <c r="L4" s="279"/>
      <c r="M4" s="279"/>
      <c r="N4" s="279"/>
      <c r="O4" s="279"/>
      <c r="P4" s="279"/>
      <c r="Q4" s="279"/>
      <c r="R4" s="279"/>
      <c r="S4" s="279"/>
      <c r="T4" s="280"/>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row>
    <row r="5" spans="1:58" ht="12" customHeight="1" x14ac:dyDescent="0.2">
      <c r="B5" s="34"/>
      <c r="C5" s="35"/>
      <c r="D5" s="35"/>
      <c r="E5" s="36"/>
      <c r="F5" s="35"/>
      <c r="G5" s="49"/>
      <c r="H5" s="36"/>
      <c r="I5" s="49"/>
      <c r="J5" s="35"/>
      <c r="K5" s="35"/>
      <c r="L5" s="123"/>
      <c r="M5" s="123"/>
      <c r="N5" s="123"/>
      <c r="O5" s="123"/>
      <c r="P5" s="123"/>
      <c r="Q5" s="161"/>
      <c r="R5" s="161"/>
      <c r="S5" s="161"/>
      <c r="T5" s="162"/>
    </row>
    <row r="6" spans="1:58" ht="12" customHeight="1" x14ac:dyDescent="0.2">
      <c r="B6" s="34"/>
      <c r="C6" s="35"/>
      <c r="D6" s="35"/>
      <c r="E6" s="36"/>
      <c r="F6" s="35"/>
      <c r="G6" s="49"/>
      <c r="H6" s="36"/>
      <c r="I6" s="49"/>
      <c r="J6" s="35"/>
      <c r="K6" s="35"/>
      <c r="L6" s="123"/>
      <c r="M6" s="123"/>
      <c r="N6" s="123"/>
      <c r="O6" s="123"/>
      <c r="P6" s="123"/>
      <c r="Q6" s="161"/>
      <c r="R6" s="161"/>
      <c r="S6" s="161"/>
      <c r="T6" s="162"/>
    </row>
    <row r="7" spans="1:58" s="175" customFormat="1" ht="12" customHeight="1" x14ac:dyDescent="0.2">
      <c r="A7" s="163"/>
      <c r="B7" s="164"/>
      <c r="C7" s="165"/>
      <c r="D7" s="165"/>
      <c r="E7" s="166"/>
      <c r="F7" s="167"/>
      <c r="G7" s="166"/>
      <c r="H7" s="166"/>
      <c r="I7" s="166"/>
      <c r="J7" s="165"/>
      <c r="K7" s="168"/>
      <c r="L7" s="308" t="s">
        <v>49</v>
      </c>
      <c r="M7" s="308"/>
      <c r="N7" s="308"/>
      <c r="O7" s="308"/>
      <c r="P7" s="308"/>
      <c r="Q7" s="308"/>
      <c r="R7" s="308"/>
      <c r="S7" s="303"/>
      <c r="T7" s="211"/>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row>
    <row r="8" spans="1:58" s="175" customFormat="1" ht="12" customHeight="1" x14ac:dyDescent="0.2">
      <c r="A8" s="163"/>
      <c r="B8" s="164"/>
      <c r="C8" s="165"/>
      <c r="D8" s="169" t="s">
        <v>50</v>
      </c>
      <c r="E8" s="166"/>
      <c r="F8" s="167"/>
      <c r="G8" s="166"/>
      <c r="H8" s="166"/>
      <c r="I8" s="166"/>
      <c r="J8" s="165"/>
      <c r="K8" s="168"/>
      <c r="L8" s="308"/>
      <c r="M8" s="308"/>
      <c r="N8" s="308"/>
      <c r="O8" s="308"/>
      <c r="P8" s="308"/>
      <c r="Q8" s="308"/>
      <c r="R8" s="308"/>
      <c r="S8" s="303"/>
      <c r="T8" s="211"/>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row>
    <row r="9" spans="1:58" s="175" customFormat="1" ht="12" customHeight="1" x14ac:dyDescent="0.2">
      <c r="A9" s="163"/>
      <c r="B9" s="164"/>
      <c r="C9" s="165"/>
      <c r="D9" s="177"/>
      <c r="E9" s="166"/>
      <c r="F9" s="178"/>
      <c r="G9" s="173"/>
      <c r="H9" s="236"/>
      <c r="I9" s="173"/>
      <c r="J9" s="165"/>
      <c r="K9" s="168"/>
      <c r="L9" s="308"/>
      <c r="M9" s="308"/>
      <c r="N9" s="308"/>
      <c r="O9" s="308"/>
      <c r="P9" s="308"/>
      <c r="Q9" s="308"/>
      <c r="R9" s="308"/>
      <c r="S9" s="303"/>
      <c r="T9" s="211"/>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row>
    <row r="10" spans="1:58" s="175" customFormat="1" ht="12" customHeight="1" x14ac:dyDescent="0.2">
      <c r="A10" s="163"/>
      <c r="B10" s="164"/>
      <c r="C10" s="165"/>
      <c r="D10" s="165" t="s">
        <v>51</v>
      </c>
      <c r="E10" s="166"/>
      <c r="F10" s="167"/>
      <c r="G10" s="194" t="s">
        <v>52</v>
      </c>
      <c r="H10" s="180"/>
      <c r="I10" s="180"/>
      <c r="J10" s="165"/>
      <c r="K10" s="168"/>
      <c r="L10" s="191"/>
      <c r="M10" s="191"/>
      <c r="N10" s="191"/>
      <c r="O10" s="191"/>
      <c r="P10" s="191"/>
      <c r="Q10" s="191"/>
      <c r="R10" s="191"/>
      <c r="S10" s="191"/>
      <c r="T10" s="211"/>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row>
    <row r="11" spans="1:58" s="175" customFormat="1" ht="12" customHeight="1" x14ac:dyDescent="0.2">
      <c r="A11" s="163"/>
      <c r="B11" s="185"/>
      <c r="C11" s="169"/>
      <c r="D11" s="165" t="s">
        <v>53</v>
      </c>
      <c r="E11" s="166"/>
      <c r="F11" s="167"/>
      <c r="G11" s="186">
        <v>29221</v>
      </c>
      <c r="H11" s="166"/>
      <c r="I11" s="166"/>
      <c r="J11" s="165"/>
      <c r="K11" s="168"/>
      <c r="L11" s="191"/>
      <c r="M11" s="191"/>
      <c r="N11" s="191"/>
      <c r="O11" s="191"/>
      <c r="P11" s="191"/>
      <c r="Q11" s="191"/>
      <c r="R11" s="191"/>
      <c r="S11" s="191"/>
      <c r="T11" s="211"/>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row>
    <row r="12" spans="1:58" s="175" customFormat="1" ht="12" customHeight="1" x14ac:dyDescent="0.2">
      <c r="A12" s="163"/>
      <c r="B12" s="164"/>
      <c r="C12" s="165"/>
      <c r="D12" s="169"/>
      <c r="E12" s="166"/>
      <c r="F12" s="167"/>
      <c r="G12" s="188">
        <f ca="1">YEAR(tabellen!F3)-YEAR(G11)</f>
        <v>43</v>
      </c>
      <c r="H12" s="166"/>
      <c r="I12" s="188">
        <f ca="1">MONTH(tabellen!F3)-MONTH(G11)</f>
        <v>11</v>
      </c>
      <c r="J12" s="189"/>
      <c r="K12" s="168"/>
      <c r="L12" s="191"/>
      <c r="M12" s="191"/>
      <c r="N12" s="191"/>
      <c r="O12" s="191"/>
      <c r="P12" s="191"/>
      <c r="Q12" s="191"/>
      <c r="R12" s="191"/>
      <c r="S12" s="191"/>
      <c r="T12" s="211"/>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row>
    <row r="13" spans="1:58" s="175" customFormat="1" ht="12" customHeight="1" x14ac:dyDescent="0.2">
      <c r="A13" s="163"/>
      <c r="B13" s="164"/>
      <c r="C13" s="168"/>
      <c r="D13" s="168"/>
      <c r="E13" s="190"/>
      <c r="F13" s="168"/>
      <c r="G13" s="190"/>
      <c r="H13" s="190"/>
      <c r="I13" s="190"/>
      <c r="J13" s="168"/>
      <c r="K13" s="168"/>
      <c r="L13" s="191"/>
      <c r="M13" s="191"/>
      <c r="N13" s="191"/>
      <c r="O13" s="191"/>
      <c r="P13" s="191"/>
      <c r="Q13" s="191"/>
      <c r="R13" s="191"/>
      <c r="S13" s="191"/>
      <c r="T13" s="211"/>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row>
    <row r="14" spans="1:58" s="175" customFormat="1" ht="12" customHeight="1" x14ac:dyDescent="0.2">
      <c r="A14" s="163"/>
      <c r="B14" s="164"/>
      <c r="C14" s="238"/>
      <c r="D14" s="239"/>
      <c r="E14" s="240"/>
      <c r="F14" s="241"/>
      <c r="G14" s="240"/>
      <c r="H14" s="240"/>
      <c r="I14" s="240"/>
      <c r="J14" s="238"/>
      <c r="K14" s="168"/>
      <c r="L14" s="169"/>
      <c r="M14" s="165"/>
      <c r="N14" s="170"/>
      <c r="O14" s="165"/>
      <c r="P14" s="171"/>
      <c r="Q14" s="172"/>
      <c r="R14" s="173"/>
      <c r="S14" s="173"/>
      <c r="T14" s="174"/>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row>
    <row r="15" spans="1:58" s="175" customFormat="1" ht="12" customHeight="1" x14ac:dyDescent="0.2">
      <c r="A15" s="163"/>
      <c r="B15" s="164"/>
      <c r="C15" s="238"/>
      <c r="D15" s="239" t="s">
        <v>54</v>
      </c>
      <c r="E15" s="240"/>
      <c r="F15" s="241"/>
      <c r="G15" s="242" t="s">
        <v>55</v>
      </c>
      <c r="H15" s="240"/>
      <c r="I15" s="243" t="s">
        <v>56</v>
      </c>
      <c r="J15" s="238"/>
      <c r="K15" s="168"/>
      <c r="L15" s="165"/>
      <c r="M15" s="169" t="s">
        <v>57</v>
      </c>
      <c r="N15" s="169"/>
      <c r="O15" s="165"/>
      <c r="P15" s="171"/>
      <c r="Q15" s="172"/>
      <c r="R15" s="176">
        <f>+G59/G20-1</f>
        <v>0.60219515989410199</v>
      </c>
      <c r="S15" s="197"/>
      <c r="T15" s="174"/>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row>
    <row r="16" spans="1:58" s="175" customFormat="1" ht="12" customHeight="1" x14ac:dyDescent="0.2">
      <c r="A16" s="163"/>
      <c r="B16" s="164"/>
      <c r="C16" s="238"/>
      <c r="D16" s="238" t="s">
        <v>58</v>
      </c>
      <c r="E16" s="240" t="str">
        <f>VLOOKUP(G16,salaristabel2023,23,FALSE)</f>
        <v>OP</v>
      </c>
      <c r="F16" s="241"/>
      <c r="G16" s="244" t="s">
        <v>172</v>
      </c>
      <c r="H16" s="240"/>
      <c r="I16" s="245">
        <f>IF(AND(G16&gt;0,G16&lt;17),100,0)</f>
        <v>0</v>
      </c>
      <c r="J16" s="238"/>
      <c r="K16" s="168"/>
      <c r="L16" s="165"/>
      <c r="M16" s="197"/>
      <c r="N16" s="197"/>
      <c r="O16" s="197"/>
      <c r="P16" s="197"/>
      <c r="Q16" s="197"/>
      <c r="R16" s="197"/>
      <c r="S16" s="197"/>
      <c r="T16" s="174"/>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row>
    <row r="17" spans="1:58" s="175" customFormat="1" ht="12" customHeight="1" x14ac:dyDescent="0.2">
      <c r="A17" s="163"/>
      <c r="B17" s="164"/>
      <c r="C17" s="238"/>
      <c r="D17" s="238" t="s">
        <v>59</v>
      </c>
      <c r="E17" s="240"/>
      <c r="F17" s="241"/>
      <c r="G17" s="244">
        <v>12</v>
      </c>
      <c r="H17" s="240"/>
      <c r="I17" s="246"/>
      <c r="J17" s="238"/>
      <c r="K17" s="168"/>
      <c r="L17" s="181" t="s">
        <v>60</v>
      </c>
      <c r="M17" s="182" t="s">
        <v>61</v>
      </c>
      <c r="N17" s="183"/>
      <c r="O17" s="179"/>
      <c r="P17" s="179"/>
      <c r="Q17" s="184"/>
      <c r="R17" s="281">
        <f>G31/G20-1</f>
        <v>0.18966003976143142</v>
      </c>
      <c r="S17" s="281"/>
      <c r="T17" s="174"/>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row>
    <row r="18" spans="1:58" s="175" customFormat="1" ht="12" customHeight="1" x14ac:dyDescent="0.2">
      <c r="A18" s="163"/>
      <c r="B18" s="164"/>
      <c r="C18" s="238"/>
      <c r="D18" s="238" t="s">
        <v>62</v>
      </c>
      <c r="E18" s="245" t="str">
        <f>G16&amp;G17</f>
        <v>LB12</v>
      </c>
      <c r="F18" s="241"/>
      <c r="G18" s="247">
        <f>VLOOKUP(G16,salaristabel2023,G17+5,FALSE)</f>
        <v>5030</v>
      </c>
      <c r="H18" s="240"/>
      <c r="I18" s="248"/>
      <c r="J18" s="238"/>
      <c r="K18" s="168"/>
      <c r="L18" s="179"/>
      <c r="M18" s="182" t="s">
        <v>63</v>
      </c>
      <c r="N18" s="182"/>
      <c r="O18" s="182"/>
      <c r="P18" s="182"/>
      <c r="Q18" s="187"/>
      <c r="R18" s="283">
        <f>G59/G31-1</f>
        <v>0.34676723294446243</v>
      </c>
      <c r="S18" s="283"/>
      <c r="T18" s="174"/>
      <c r="U18" s="163"/>
      <c r="V18" s="163"/>
      <c r="W18" s="195"/>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row>
    <row r="19" spans="1:58" s="175" customFormat="1" ht="12" customHeight="1" x14ac:dyDescent="0.2">
      <c r="A19" s="163"/>
      <c r="B19" s="164"/>
      <c r="C19" s="238"/>
      <c r="D19" s="238" t="s">
        <v>64</v>
      </c>
      <c r="E19" s="245">
        <f>VLOOKUP(E18,tabellen!$C$51:$D$64,2,FALSE)</f>
        <v>132.59</v>
      </c>
      <c r="F19" s="241"/>
      <c r="G19" s="249">
        <v>1</v>
      </c>
      <c r="H19" s="240"/>
      <c r="I19" s="240"/>
      <c r="J19" s="238"/>
      <c r="K19" s="168"/>
      <c r="L19" s="165"/>
      <c r="M19" s="182" t="s">
        <v>65</v>
      </c>
      <c r="N19" s="182"/>
      <c r="O19" s="182"/>
      <c r="P19" s="182"/>
      <c r="Q19" s="187"/>
      <c r="R19" s="283">
        <f>G59/G20-1</f>
        <v>0.60219515989410199</v>
      </c>
      <c r="S19" s="283"/>
      <c r="T19" s="174"/>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row>
    <row r="20" spans="1:58" s="175" customFormat="1" ht="12" customHeight="1" x14ac:dyDescent="0.2">
      <c r="A20" s="163"/>
      <c r="B20" s="164"/>
      <c r="C20" s="238"/>
      <c r="D20" s="239" t="s">
        <v>66</v>
      </c>
      <c r="E20" s="250"/>
      <c r="F20" s="251"/>
      <c r="G20" s="252">
        <f>+G18*G19</f>
        <v>5030</v>
      </c>
      <c r="H20" s="250"/>
      <c r="I20" s="252">
        <f>G20*12</f>
        <v>60360</v>
      </c>
      <c r="J20" s="238"/>
      <c r="K20" s="168"/>
      <c r="L20" s="197"/>
      <c r="M20" s="197"/>
      <c r="N20" s="197"/>
      <c r="O20" s="197"/>
      <c r="P20" s="197"/>
      <c r="Q20" s="197"/>
      <c r="R20" s="197"/>
      <c r="S20" s="197"/>
      <c r="T20" s="174"/>
      <c r="U20" s="163"/>
      <c r="V20" s="163"/>
      <c r="W20" s="195"/>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row>
    <row r="21" spans="1:58" s="208" customFormat="1" ht="12" customHeight="1" x14ac:dyDescent="0.2">
      <c r="A21" s="205"/>
      <c r="B21" s="206"/>
      <c r="C21" s="253"/>
      <c r="D21" s="239"/>
      <c r="E21" s="254"/>
      <c r="F21" s="255"/>
      <c r="G21" s="256"/>
      <c r="H21" s="257"/>
      <c r="I21" s="254"/>
      <c r="J21" s="253"/>
      <c r="K21" s="207"/>
      <c r="L21" s="191"/>
      <c r="M21" s="229"/>
      <c r="N21" s="229"/>
      <c r="O21" s="229"/>
      <c r="P21" s="229"/>
      <c r="Q21" s="229"/>
      <c r="R21" s="229"/>
      <c r="S21" s="229"/>
      <c r="T21" s="230"/>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row>
    <row r="22" spans="1:58" s="175" customFormat="1" ht="12" customHeight="1" x14ac:dyDescent="0.2">
      <c r="A22" s="163"/>
      <c r="B22" s="164"/>
      <c r="C22" s="238"/>
      <c r="D22" s="239" t="s">
        <v>67</v>
      </c>
      <c r="E22" s="254"/>
      <c r="F22" s="238"/>
      <c r="G22" s="242" t="s">
        <v>55</v>
      </c>
      <c r="H22" s="254"/>
      <c r="I22" s="243" t="s">
        <v>56</v>
      </c>
      <c r="J22" s="238"/>
      <c r="K22" s="168"/>
      <c r="L22" s="191"/>
      <c r="M22" s="191"/>
      <c r="N22" s="191"/>
      <c r="O22" s="191"/>
      <c r="P22" s="191"/>
      <c r="Q22" s="192"/>
      <c r="R22" s="192"/>
      <c r="S22" s="192"/>
      <c r="T22" s="174"/>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row>
    <row r="23" spans="1:58" s="175" customFormat="1" ht="12" customHeight="1" x14ac:dyDescent="0.2">
      <c r="A23" s="163"/>
      <c r="B23" s="164"/>
      <c r="C23" s="238"/>
      <c r="D23" s="238" t="s">
        <v>68</v>
      </c>
      <c r="E23" s="254"/>
      <c r="F23" s="258"/>
      <c r="G23" s="259">
        <f>ROUND(IF((G$20+G25)*tabellen!D33&lt;G19*tabellen!D35,G19*tabellen!D35,(G$20+G25)*tabellen!D33),2)</f>
        <v>402.4</v>
      </c>
      <c r="H23" s="260"/>
      <c r="I23" s="261">
        <f t="shared" ref="I23:I28" si="0">+G23*12</f>
        <v>4828.7999999999993</v>
      </c>
      <c r="J23" s="238"/>
      <c r="K23" s="168"/>
      <c r="L23" s="191"/>
      <c r="M23" s="193"/>
      <c r="N23" s="193"/>
      <c r="O23" s="193"/>
      <c r="P23" s="193"/>
      <c r="Q23" s="193"/>
      <c r="R23" s="193"/>
      <c r="S23" s="193"/>
      <c r="T23" s="174"/>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row>
    <row r="24" spans="1:58" s="175" customFormat="1" ht="12" customHeight="1" x14ac:dyDescent="0.2">
      <c r="A24" s="163"/>
      <c r="B24" s="164"/>
      <c r="C24" s="238"/>
      <c r="D24" s="238" t="s">
        <v>69</v>
      </c>
      <c r="E24" s="254"/>
      <c r="F24" s="262"/>
      <c r="G24" s="259">
        <f>ROUND((G$20+G25)*tabellen!D36,2)</f>
        <v>419</v>
      </c>
      <c r="H24" s="263"/>
      <c r="I24" s="261">
        <f t="shared" si="0"/>
        <v>5028</v>
      </c>
      <c r="J24" s="238"/>
      <c r="K24" s="168"/>
      <c r="L24" s="191"/>
      <c r="M24" s="193"/>
      <c r="N24" s="193"/>
      <c r="O24" s="193"/>
      <c r="P24" s="193"/>
      <c r="Q24" s="193"/>
      <c r="R24" s="193"/>
      <c r="S24" s="193"/>
      <c r="T24" s="174"/>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row>
    <row r="25" spans="1:58" s="175" customFormat="1" ht="12" customHeight="1" x14ac:dyDescent="0.2">
      <c r="A25" s="163"/>
      <c r="B25" s="164"/>
      <c r="C25" s="238"/>
      <c r="D25" s="238" t="s">
        <v>70</v>
      </c>
      <c r="E25" s="264" t="s">
        <v>71</v>
      </c>
      <c r="F25" s="262"/>
      <c r="G25" s="259">
        <f>IF(E25="nee",0,(VLOOKUP(G16,uitlooptoeslag,2,FALSE)))</f>
        <v>0</v>
      </c>
      <c r="H25" s="263"/>
      <c r="I25" s="261">
        <f t="shared" si="0"/>
        <v>0</v>
      </c>
      <c r="J25" s="238"/>
      <c r="K25" s="168"/>
      <c r="L25" s="191"/>
      <c r="M25" s="193"/>
      <c r="N25" s="193"/>
      <c r="O25" s="193"/>
      <c r="P25" s="193"/>
      <c r="Q25" s="193"/>
      <c r="R25" s="193"/>
      <c r="S25" s="193"/>
      <c r="T25" s="174"/>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row>
    <row r="26" spans="1:58" s="175" customFormat="1" ht="12" customHeight="1" x14ac:dyDescent="0.2">
      <c r="A26" s="163"/>
      <c r="B26" s="164"/>
      <c r="C26" s="238"/>
      <c r="D26" s="238" t="s">
        <v>72</v>
      </c>
      <c r="E26" s="263" t="str">
        <f>IF(E16="DIR","ja","nee")</f>
        <v>nee</v>
      </c>
      <c r="F26" s="262"/>
      <c r="G26" s="259">
        <f>ROUND(IF(E26="ja",VLOOKUP(G16,arbeidsmarkttoelage,2)*IF(G19&gt;1,1,G19),0),2)</f>
        <v>0</v>
      </c>
      <c r="H26" s="263"/>
      <c r="I26" s="261">
        <f t="shared" si="0"/>
        <v>0</v>
      </c>
      <c r="J26" s="238"/>
      <c r="K26" s="168"/>
      <c r="L26" s="191"/>
      <c r="M26" s="193"/>
      <c r="N26" s="193"/>
      <c r="O26" s="193"/>
      <c r="P26" s="193"/>
      <c r="Q26" s="193"/>
      <c r="R26" s="193"/>
      <c r="S26" s="193"/>
      <c r="T26" s="174"/>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row>
    <row r="27" spans="1:58" s="175" customFormat="1" ht="12" customHeight="1" x14ac:dyDescent="0.2">
      <c r="A27" s="163"/>
      <c r="B27" s="164"/>
      <c r="C27" s="238"/>
      <c r="D27" s="238" t="s">
        <v>73</v>
      </c>
      <c r="E27" s="263" t="str">
        <f>IF(E16="OOP","ja","nee")</f>
        <v>nee</v>
      </c>
      <c r="F27" s="262"/>
      <c r="G27" s="259">
        <f>ROUND(IF(E27="ja",IF(G16&lt;9,tabellen!D37,tabellen!D38)*IF(G19&gt;1,1,G19),0),2)</f>
        <v>0</v>
      </c>
      <c r="H27" s="263"/>
      <c r="I27" s="261">
        <f t="shared" si="0"/>
        <v>0</v>
      </c>
      <c r="J27" s="238"/>
      <c r="K27" s="168"/>
      <c r="L27" s="191"/>
      <c r="M27" s="193"/>
      <c r="N27" s="193"/>
      <c r="O27" s="193"/>
      <c r="P27" s="193"/>
      <c r="Q27" s="193"/>
      <c r="R27" s="193"/>
      <c r="S27" s="193"/>
      <c r="T27" s="174"/>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row>
    <row r="28" spans="1:58" s="175" customFormat="1" ht="12" customHeight="1" x14ac:dyDescent="0.2">
      <c r="A28" s="163"/>
      <c r="B28" s="164"/>
      <c r="C28" s="238"/>
      <c r="D28" s="238" t="s">
        <v>74</v>
      </c>
      <c r="E28" s="265" t="str">
        <f>IF(G28=0,"nee","ja")</f>
        <v>ja</v>
      </c>
      <c r="F28" s="238"/>
      <c r="G28" s="259">
        <f>_xlfn.IFNA(E19,0)*IF(G19&gt;1,1,G19)</f>
        <v>132.59</v>
      </c>
      <c r="H28" s="254"/>
      <c r="I28" s="261">
        <f t="shared" si="0"/>
        <v>1591.08</v>
      </c>
      <c r="J28" s="238"/>
      <c r="K28" s="168"/>
      <c r="L28" s="191"/>
      <c r="M28" s="193"/>
      <c r="N28" s="193"/>
      <c r="O28" s="193"/>
      <c r="P28" s="193"/>
      <c r="Q28" s="193"/>
      <c r="R28" s="193"/>
      <c r="S28" s="193"/>
      <c r="T28" s="174"/>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row>
    <row r="29" spans="1:58" s="175" customFormat="1" ht="12" customHeight="1" x14ac:dyDescent="0.2">
      <c r="A29" s="163"/>
      <c r="B29" s="164"/>
      <c r="C29" s="238"/>
      <c r="D29" s="239" t="s">
        <v>75</v>
      </c>
      <c r="E29" s="266"/>
      <c r="F29" s="239"/>
      <c r="G29" s="252">
        <f>SUM(G23:G28)</f>
        <v>953.99</v>
      </c>
      <c r="H29" s="266"/>
      <c r="I29" s="252">
        <f>SUM(I23:I28)</f>
        <v>11447.88</v>
      </c>
      <c r="J29" s="239"/>
      <c r="K29" s="168"/>
      <c r="L29" s="191"/>
      <c r="M29" s="193"/>
      <c r="N29" s="193"/>
      <c r="O29" s="193"/>
      <c r="P29" s="193"/>
      <c r="Q29" s="193"/>
      <c r="R29" s="193"/>
      <c r="S29" s="193"/>
      <c r="T29" s="174"/>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row>
    <row r="30" spans="1:58" s="175" customFormat="1" ht="12" customHeight="1" x14ac:dyDescent="0.2">
      <c r="A30" s="163"/>
      <c r="B30" s="164"/>
      <c r="C30" s="238"/>
      <c r="D30" s="239"/>
      <c r="E30" s="254"/>
      <c r="F30" s="255"/>
      <c r="G30" s="254"/>
      <c r="H30" s="257"/>
      <c r="I30" s="254"/>
      <c r="J30" s="239"/>
      <c r="K30" s="168"/>
      <c r="L30" s="191"/>
      <c r="M30" s="193"/>
      <c r="N30" s="193"/>
      <c r="O30" s="193"/>
      <c r="P30" s="193"/>
      <c r="Q30" s="193"/>
      <c r="R30" s="193"/>
      <c r="S30" s="193"/>
      <c r="T30" s="198"/>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row>
    <row r="31" spans="1:58" s="175" customFormat="1" ht="12" customHeight="1" x14ac:dyDescent="0.2">
      <c r="A31" s="163"/>
      <c r="B31" s="164"/>
      <c r="C31" s="238"/>
      <c r="D31" s="267" t="s">
        <v>76</v>
      </c>
      <c r="E31" s="268"/>
      <c r="F31" s="253"/>
      <c r="G31" s="269">
        <f>G20+G29</f>
        <v>5983.99</v>
      </c>
      <c r="H31" s="268"/>
      <c r="I31" s="269">
        <f>I20+I29</f>
        <v>71807.88</v>
      </c>
      <c r="J31" s="239"/>
      <c r="K31" s="168"/>
      <c r="L31" s="191"/>
      <c r="M31" s="193"/>
      <c r="N31" s="193"/>
      <c r="O31" s="193"/>
      <c r="P31" s="193"/>
      <c r="Q31" s="193"/>
      <c r="R31" s="193"/>
      <c r="S31" s="193"/>
      <c r="T31" s="200"/>
      <c r="U31" s="163"/>
      <c r="V31" s="163"/>
      <c r="W31" s="195"/>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row>
    <row r="32" spans="1:58" s="175" customFormat="1" ht="12" customHeight="1" x14ac:dyDescent="0.2">
      <c r="A32" s="163"/>
      <c r="B32" s="164"/>
      <c r="C32" s="238"/>
      <c r="D32" s="239"/>
      <c r="E32" s="254"/>
      <c r="F32" s="255"/>
      <c r="G32" s="254"/>
      <c r="H32" s="257"/>
      <c r="I32" s="270"/>
      <c r="J32" s="239"/>
      <c r="K32" s="168"/>
      <c r="L32" s="202"/>
      <c r="M32" s="193"/>
      <c r="N32" s="193"/>
      <c r="O32" s="193"/>
      <c r="P32" s="193"/>
      <c r="Q32" s="193"/>
      <c r="R32" s="193"/>
      <c r="S32" s="193"/>
      <c r="T32" s="200"/>
      <c r="U32" s="163"/>
      <c r="V32" s="163"/>
      <c r="W32" s="195"/>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row>
    <row r="33" spans="1:58" s="175" customFormat="1" ht="12" customHeight="1" x14ac:dyDescent="0.2">
      <c r="A33" s="163"/>
      <c r="B33" s="164"/>
      <c r="C33" s="191"/>
      <c r="D33" s="231"/>
      <c r="E33" s="192"/>
      <c r="F33" s="232"/>
      <c r="G33" s="192"/>
      <c r="H33" s="237"/>
      <c r="I33" s="233"/>
      <c r="J33" s="231"/>
      <c r="K33" s="168"/>
      <c r="L33" s="202"/>
      <c r="M33" s="193"/>
      <c r="N33" s="193"/>
      <c r="O33" s="193"/>
      <c r="P33" s="193"/>
      <c r="Q33" s="193"/>
      <c r="R33" s="193"/>
      <c r="S33" s="193"/>
      <c r="T33" s="200"/>
      <c r="U33" s="163"/>
      <c r="V33" s="163"/>
      <c r="W33" s="195"/>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row>
    <row r="34" spans="1:58" s="175" customFormat="1" ht="12" customHeight="1" x14ac:dyDescent="0.2">
      <c r="A34" s="163"/>
      <c r="B34" s="164"/>
      <c r="C34" s="238"/>
      <c r="D34" s="239"/>
      <c r="E34" s="254"/>
      <c r="F34" s="255"/>
      <c r="G34" s="254"/>
      <c r="H34" s="257"/>
      <c r="I34" s="270"/>
      <c r="J34" s="239"/>
      <c r="K34" s="168"/>
      <c r="L34" s="202"/>
      <c r="M34" s="193"/>
      <c r="N34" s="193"/>
      <c r="O34" s="193"/>
      <c r="P34" s="193"/>
      <c r="Q34" s="193"/>
      <c r="R34" s="193"/>
      <c r="S34" s="193"/>
      <c r="T34" s="200"/>
      <c r="U34" s="163"/>
      <c r="V34" s="163"/>
      <c r="W34" s="195"/>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row>
    <row r="35" spans="1:58" s="175" customFormat="1" ht="12" customHeight="1" x14ac:dyDescent="0.2">
      <c r="A35" s="163"/>
      <c r="B35" s="164"/>
      <c r="C35" s="238"/>
      <c r="D35" s="239" t="s">
        <v>77</v>
      </c>
      <c r="E35" s="254"/>
      <c r="F35" s="238"/>
      <c r="G35" s="242" t="s">
        <v>55</v>
      </c>
      <c r="H35" s="254"/>
      <c r="I35" s="243" t="s">
        <v>56</v>
      </c>
      <c r="J35" s="238"/>
      <c r="K35" s="168"/>
      <c r="L35" s="203"/>
      <c r="M35" s="193"/>
      <c r="N35" s="193"/>
      <c r="O35" s="193"/>
      <c r="P35" s="193"/>
      <c r="Q35" s="193"/>
      <c r="R35" s="193"/>
      <c r="S35" s="193"/>
      <c r="T35" s="200"/>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row>
    <row r="36" spans="1:58" s="175" customFormat="1" ht="12" customHeight="1" x14ac:dyDescent="0.2">
      <c r="A36" s="163"/>
      <c r="B36" s="164"/>
      <c r="C36" s="238"/>
      <c r="D36" s="238" t="s">
        <v>78</v>
      </c>
      <c r="E36" s="254"/>
      <c r="F36" s="238"/>
      <c r="G36" s="259">
        <f>IF($I$31/$G$19&lt;tabellen!E8,0,($I$31-tabellen!E8*$G$19)/12)*tabellen!$C8</f>
        <v>818.38969000000009</v>
      </c>
      <c r="H36" s="254"/>
      <c r="I36" s="271">
        <f t="shared" ref="I36:I41" si="1">G36*12</f>
        <v>9820.6762800000015</v>
      </c>
      <c r="J36" s="238"/>
      <c r="K36" s="168"/>
      <c r="L36" s="201"/>
      <c r="M36" s="193"/>
      <c r="N36" s="193"/>
      <c r="O36" s="193"/>
      <c r="P36" s="193"/>
      <c r="Q36" s="193"/>
      <c r="R36" s="193"/>
      <c r="S36" s="193"/>
      <c r="T36" s="200"/>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row>
    <row r="37" spans="1:58" s="175" customFormat="1" ht="12" customHeight="1" x14ac:dyDescent="0.2">
      <c r="A37" s="163"/>
      <c r="B37" s="164"/>
      <c r="C37" s="238"/>
      <c r="D37" s="238" t="s">
        <v>79</v>
      </c>
      <c r="E37" s="254"/>
      <c r="F37" s="238"/>
      <c r="G37" s="259">
        <f>IF($I$31/$G$19&lt;tabellen!E9,0,($I$31-tabellen!E9*$G$19)/12)*tabellen!$C9</f>
        <v>21.003677333333336</v>
      </c>
      <c r="H37" s="254"/>
      <c r="I37" s="271">
        <f t="shared" si="1"/>
        <v>252.04412800000003</v>
      </c>
      <c r="J37" s="253"/>
      <c r="K37" s="168"/>
      <c r="L37" s="201"/>
      <c r="M37" s="193"/>
      <c r="N37" s="193"/>
      <c r="O37" s="193"/>
      <c r="P37" s="193"/>
      <c r="Q37" s="193"/>
      <c r="R37" s="193"/>
      <c r="S37" s="193"/>
      <c r="T37" s="200"/>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row>
    <row r="38" spans="1:58" s="175" customFormat="1" ht="12" customHeight="1" x14ac:dyDescent="0.2">
      <c r="A38" s="163"/>
      <c r="B38" s="164"/>
      <c r="C38" s="238"/>
      <c r="D38" s="238" t="s">
        <v>80</v>
      </c>
      <c r="E38" s="268"/>
      <c r="F38" s="238"/>
      <c r="G38" s="259">
        <f>$I$31/12*tabellen!$C10</f>
        <v>0</v>
      </c>
      <c r="H38" s="254"/>
      <c r="I38" s="271">
        <f t="shared" si="1"/>
        <v>0</v>
      </c>
      <c r="J38" s="253"/>
      <c r="K38" s="168"/>
      <c r="L38" s="201"/>
      <c r="M38" s="193"/>
      <c r="N38" s="193"/>
      <c r="O38" s="193"/>
      <c r="P38" s="193"/>
      <c r="Q38" s="193"/>
      <c r="R38" s="193"/>
      <c r="S38" s="193"/>
      <c r="T38" s="200"/>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row>
    <row r="39" spans="1:58" s="175" customFormat="1" ht="12" customHeight="1" x14ac:dyDescent="0.2">
      <c r="A39" s="163"/>
      <c r="B39" s="164"/>
      <c r="C39" s="253"/>
      <c r="D39" s="238" t="s">
        <v>81</v>
      </c>
      <c r="E39" s="254"/>
      <c r="F39" s="238"/>
      <c r="G39" s="259">
        <f>IF(G69&gt;tabellen!$G$11/12,tabellen!$G$11/12,G69)*(tabellen!$C11+tabellen!$C12)</f>
        <v>475.26159162599993</v>
      </c>
      <c r="H39" s="254"/>
      <c r="I39" s="271">
        <f>G39*12</f>
        <v>5703.1390995119991</v>
      </c>
      <c r="J39" s="253"/>
      <c r="K39" s="168"/>
      <c r="L39" s="201"/>
      <c r="M39" s="193"/>
      <c r="N39" s="193"/>
      <c r="O39" s="193"/>
      <c r="P39" s="193"/>
      <c r="Q39" s="193"/>
      <c r="R39" s="193"/>
      <c r="S39" s="193"/>
      <c r="T39" s="200"/>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row>
    <row r="40" spans="1:58" s="175" customFormat="1" ht="12" customHeight="1" x14ac:dyDescent="0.2">
      <c r="A40" s="163"/>
      <c r="B40" s="164"/>
      <c r="C40" s="253"/>
      <c r="D40" s="238" t="s">
        <v>82</v>
      </c>
      <c r="E40" s="254"/>
      <c r="F40" s="238"/>
      <c r="G40" s="259">
        <f>ROUND(IF(G69&gt;tabellen!H13,tabellen!H13,G69)*tabellen!C13,2)</f>
        <v>369.09</v>
      </c>
      <c r="H40" s="254"/>
      <c r="I40" s="271">
        <f t="shared" si="1"/>
        <v>4429.08</v>
      </c>
      <c r="J40" s="255"/>
      <c r="K40" s="168"/>
      <c r="L40" s="201"/>
      <c r="M40" s="193"/>
      <c r="N40" s="193"/>
      <c r="O40" s="193"/>
      <c r="P40" s="193"/>
      <c r="Q40" s="193"/>
      <c r="R40" s="193"/>
      <c r="S40" s="193"/>
      <c r="T40" s="200"/>
      <c r="U40" s="163"/>
      <c r="V40" s="163"/>
      <c r="W40" s="204"/>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row>
    <row r="41" spans="1:58" s="175" customFormat="1" ht="12" customHeight="1" x14ac:dyDescent="0.2">
      <c r="A41" s="163"/>
      <c r="B41" s="164"/>
      <c r="C41" s="253"/>
      <c r="D41" s="238" t="s">
        <v>83</v>
      </c>
      <c r="E41" s="254"/>
      <c r="F41" s="238"/>
      <c r="G41" s="259">
        <f>IF(G69&gt;tabellen!$G$14*$G$19/12,tabellen!$G$14*$G$19/12,G69)*tabellen!$C14</f>
        <v>38.200695307999993</v>
      </c>
      <c r="H41" s="254"/>
      <c r="I41" s="271">
        <f t="shared" si="1"/>
        <v>458.40834369599992</v>
      </c>
      <c r="J41" s="255"/>
      <c r="K41" s="168"/>
      <c r="L41" s="201"/>
      <c r="M41" s="193"/>
      <c r="N41" s="193"/>
      <c r="O41" s="193"/>
      <c r="P41" s="193"/>
      <c r="Q41" s="193"/>
      <c r="R41" s="193"/>
      <c r="S41" s="193"/>
      <c r="T41" s="200"/>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row>
    <row r="42" spans="1:58" s="208" customFormat="1" ht="12" customHeight="1" x14ac:dyDescent="0.2">
      <c r="A42" s="205"/>
      <c r="B42" s="206"/>
      <c r="C42" s="238"/>
      <c r="D42" s="238" t="s">
        <v>84</v>
      </c>
      <c r="E42" s="272">
        <v>2</v>
      </c>
      <c r="F42" s="238"/>
      <c r="G42" s="261">
        <f>(G20+G23)*VLOOKUP(E42,tabellen!A15:C21,3)</f>
        <v>258.03899999999999</v>
      </c>
      <c r="H42" s="254"/>
      <c r="I42" s="271">
        <f>G42*12</f>
        <v>3096.4679999999998</v>
      </c>
      <c r="J42" s="255"/>
      <c r="K42" s="207"/>
      <c r="L42" s="201"/>
      <c r="M42" s="193"/>
      <c r="N42" s="193"/>
      <c r="O42" s="193"/>
      <c r="P42" s="193"/>
      <c r="Q42" s="193"/>
      <c r="R42" s="193"/>
      <c r="S42" s="193"/>
      <c r="T42" s="200"/>
      <c r="U42" s="205"/>
      <c r="V42" s="205"/>
      <c r="W42" s="163"/>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row>
    <row r="43" spans="1:58" s="208" customFormat="1" ht="12" customHeight="1" x14ac:dyDescent="0.2">
      <c r="A43" s="205"/>
      <c r="B43" s="206"/>
      <c r="C43" s="238"/>
      <c r="D43" s="238" t="s">
        <v>85</v>
      </c>
      <c r="E43" s="254"/>
      <c r="F43" s="238"/>
      <c r="G43" s="261">
        <f>I43/12</f>
        <v>0</v>
      </c>
      <c r="H43" s="254"/>
      <c r="I43" s="273">
        <v>0</v>
      </c>
      <c r="J43" s="238"/>
      <c r="K43" s="207"/>
      <c r="L43" s="201"/>
      <c r="M43" s="193"/>
      <c r="N43" s="193"/>
      <c r="O43" s="193"/>
      <c r="P43" s="193"/>
      <c r="Q43" s="193"/>
      <c r="R43" s="193"/>
      <c r="S43" s="193"/>
      <c r="T43" s="200"/>
      <c r="U43" s="205"/>
      <c r="V43" s="205"/>
      <c r="W43" s="163"/>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row>
    <row r="44" spans="1:58" s="175" customFormat="1" ht="12" customHeight="1" x14ac:dyDescent="0.2">
      <c r="A44" s="163"/>
      <c r="B44" s="164"/>
      <c r="C44" s="238"/>
      <c r="D44" s="238" t="s">
        <v>86</v>
      </c>
      <c r="E44" s="254"/>
      <c r="F44" s="238"/>
      <c r="G44" s="261">
        <f>(G20+G23)*tabellen!$C22</f>
        <v>95.067000000000007</v>
      </c>
      <c r="H44" s="254"/>
      <c r="I44" s="271">
        <f>G44*12</f>
        <v>1140.8040000000001</v>
      </c>
      <c r="J44" s="238"/>
      <c r="K44" s="168"/>
      <c r="L44" s="201"/>
      <c r="M44" s="193"/>
      <c r="N44" s="193"/>
      <c r="O44" s="193"/>
      <c r="P44" s="193"/>
      <c r="Q44" s="193"/>
      <c r="R44" s="193"/>
      <c r="S44" s="193"/>
      <c r="T44" s="200"/>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row>
    <row r="45" spans="1:58" s="175" customFormat="1" ht="12" customHeight="1" x14ac:dyDescent="0.2">
      <c r="A45" s="163"/>
      <c r="B45" s="164"/>
      <c r="C45" s="238"/>
      <c r="D45" s="239" t="s">
        <v>87</v>
      </c>
      <c r="E45" s="254"/>
      <c r="F45" s="238"/>
      <c r="G45" s="252">
        <f>SUM(G36:G44)</f>
        <v>2075.0516542673331</v>
      </c>
      <c r="H45" s="266"/>
      <c r="I45" s="252">
        <f>SUM(I36:I44)</f>
        <v>24900.619851207997</v>
      </c>
      <c r="J45" s="238"/>
      <c r="K45" s="168"/>
      <c r="L45" s="209"/>
      <c r="M45" s="193"/>
      <c r="N45" s="193"/>
      <c r="O45" s="193"/>
      <c r="P45" s="193"/>
      <c r="Q45" s="193"/>
      <c r="R45" s="193"/>
      <c r="S45" s="193"/>
      <c r="T45" s="200"/>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row>
    <row r="46" spans="1:58" s="175" customFormat="1" ht="12" customHeight="1" x14ac:dyDescent="0.2">
      <c r="A46" s="163"/>
      <c r="B46" s="164"/>
      <c r="C46" s="238"/>
      <c r="D46" s="238"/>
      <c r="E46" s="254"/>
      <c r="F46" s="238"/>
      <c r="G46" s="254"/>
      <c r="H46" s="254"/>
      <c r="I46" s="254"/>
      <c r="J46" s="238"/>
      <c r="K46" s="168"/>
      <c r="L46" s="202"/>
      <c r="M46" s="193"/>
      <c r="N46" s="193"/>
      <c r="O46" s="193"/>
      <c r="P46" s="193"/>
      <c r="Q46" s="193"/>
      <c r="R46" s="193"/>
      <c r="S46" s="193"/>
      <c r="T46" s="200"/>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row>
    <row r="47" spans="1:58" s="175" customFormat="1" ht="12" customHeight="1" x14ac:dyDescent="0.2">
      <c r="A47" s="163"/>
      <c r="B47" s="164"/>
      <c r="C47" s="238"/>
      <c r="D47" s="239" t="s">
        <v>88</v>
      </c>
      <c r="E47" s="254"/>
      <c r="F47" s="238"/>
      <c r="G47" s="242" t="s">
        <v>55</v>
      </c>
      <c r="H47" s="254"/>
      <c r="I47" s="243" t="s">
        <v>56</v>
      </c>
      <c r="J47" s="238"/>
      <c r="K47" s="168"/>
      <c r="L47" s="202"/>
      <c r="M47" s="193"/>
      <c r="N47" s="193"/>
      <c r="O47" s="193"/>
      <c r="P47" s="193"/>
      <c r="Q47" s="193"/>
      <c r="R47" s="193"/>
      <c r="S47" s="193"/>
      <c r="T47" s="200"/>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row>
    <row r="48" spans="1:58" s="175" customFormat="1" ht="12" customHeight="1" x14ac:dyDescent="0.2">
      <c r="A48" s="163"/>
      <c r="B48" s="164"/>
      <c r="C48" s="238"/>
      <c r="D48" s="238" t="s">
        <v>89</v>
      </c>
      <c r="E48" s="254"/>
      <c r="F48" s="238"/>
      <c r="G48" s="261">
        <f>I48/12</f>
        <v>0</v>
      </c>
      <c r="H48" s="254"/>
      <c r="I48" s="274">
        <v>0</v>
      </c>
      <c r="J48" s="238"/>
      <c r="K48" s="168"/>
      <c r="L48" s="210"/>
      <c r="M48" s="193"/>
      <c r="N48" s="193"/>
      <c r="O48" s="193"/>
      <c r="P48" s="193"/>
      <c r="Q48" s="193"/>
      <c r="R48" s="193"/>
      <c r="S48" s="193"/>
      <c r="T48" s="211"/>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row>
    <row r="49" spans="1:58" s="175" customFormat="1" ht="12" customHeight="1" x14ac:dyDescent="0.2">
      <c r="A49" s="163"/>
      <c r="B49" s="164"/>
      <c r="C49" s="238"/>
      <c r="D49" s="238" t="s">
        <v>90</v>
      </c>
      <c r="E49" s="254"/>
      <c r="F49" s="238"/>
      <c r="G49" s="261">
        <f>I49/12</f>
        <v>0</v>
      </c>
      <c r="H49" s="254"/>
      <c r="I49" s="274">
        <v>0</v>
      </c>
      <c r="J49" s="238"/>
      <c r="K49" s="168"/>
      <c r="L49" s="202"/>
      <c r="M49" s="202"/>
      <c r="N49" s="202"/>
      <c r="O49" s="202"/>
      <c r="P49" s="202"/>
      <c r="Q49" s="202"/>
      <c r="R49" s="202"/>
      <c r="S49" s="202"/>
      <c r="T49" s="211"/>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row>
    <row r="50" spans="1:58" s="175" customFormat="1" ht="12" customHeight="1" x14ac:dyDescent="0.2">
      <c r="A50" s="163"/>
      <c r="B50" s="164"/>
      <c r="C50" s="238"/>
      <c r="D50" s="238" t="s">
        <v>91</v>
      </c>
      <c r="E50" s="254"/>
      <c r="F50" s="238"/>
      <c r="G50" s="261">
        <f>I50/12</f>
        <v>0</v>
      </c>
      <c r="H50" s="254"/>
      <c r="I50" s="274">
        <v>0</v>
      </c>
      <c r="J50" s="238"/>
      <c r="K50" s="168"/>
      <c r="L50" s="202"/>
      <c r="M50" s="202"/>
      <c r="N50" s="202"/>
      <c r="O50" s="202"/>
      <c r="P50" s="202"/>
      <c r="Q50" s="202"/>
      <c r="R50" s="202"/>
      <c r="S50" s="202"/>
      <c r="T50" s="174"/>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row>
    <row r="51" spans="1:58" s="175" customFormat="1" ht="12" customHeight="1" x14ac:dyDescent="0.2">
      <c r="A51" s="163"/>
      <c r="B51" s="164"/>
      <c r="C51" s="238"/>
      <c r="D51" s="238" t="s">
        <v>92</v>
      </c>
      <c r="E51" s="254"/>
      <c r="F51" s="238"/>
      <c r="G51" s="261">
        <f>I51/12</f>
        <v>0</v>
      </c>
      <c r="H51" s="254"/>
      <c r="I51" s="274">
        <v>0</v>
      </c>
      <c r="J51" s="238"/>
      <c r="K51" s="168"/>
      <c r="L51" s="202"/>
      <c r="M51" s="202"/>
      <c r="N51" s="202"/>
      <c r="O51" s="202"/>
      <c r="P51" s="202"/>
      <c r="Q51" s="202"/>
      <c r="R51" s="202"/>
      <c r="S51" s="202"/>
      <c r="T51" s="174"/>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row>
    <row r="52" spans="1:58" s="175" customFormat="1" ht="12" customHeight="1" x14ac:dyDescent="0.2">
      <c r="A52" s="163"/>
      <c r="B52" s="164"/>
      <c r="C52" s="238"/>
      <c r="D52" s="238" t="s">
        <v>93</v>
      </c>
      <c r="E52" s="254"/>
      <c r="F52" s="238"/>
      <c r="G52" s="261">
        <f>I52/12</f>
        <v>0</v>
      </c>
      <c r="H52" s="254"/>
      <c r="I52" s="274">
        <v>0</v>
      </c>
      <c r="J52" s="238"/>
      <c r="K52" s="168"/>
      <c r="L52" s="191"/>
      <c r="M52" s="212"/>
      <c r="N52" s="212"/>
      <c r="O52" s="212"/>
      <c r="P52" s="212"/>
      <c r="Q52" s="213"/>
      <c r="R52" s="213"/>
      <c r="S52" s="213"/>
      <c r="T52" s="174"/>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row>
    <row r="53" spans="1:58" s="175" customFormat="1" ht="12" customHeight="1" x14ac:dyDescent="0.2">
      <c r="A53" s="163"/>
      <c r="B53" s="164"/>
      <c r="C53" s="238"/>
      <c r="D53" s="239" t="s">
        <v>94</v>
      </c>
      <c r="E53" s="254"/>
      <c r="F53" s="238"/>
      <c r="G53" s="275">
        <f>SUM(G48:G52)</f>
        <v>0</v>
      </c>
      <c r="H53" s="254"/>
      <c r="I53" s="275">
        <f>SUM(I48:I52)</f>
        <v>0</v>
      </c>
      <c r="J53" s="238"/>
      <c r="K53" s="168"/>
      <c r="L53" s="191"/>
      <c r="M53" s="212"/>
      <c r="N53" s="212"/>
      <c r="O53" s="212"/>
      <c r="P53" s="212"/>
      <c r="Q53" s="213"/>
      <c r="R53" s="213"/>
      <c r="S53" s="213"/>
      <c r="T53" s="174"/>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row>
    <row r="54" spans="1:58" s="175" customFormat="1" ht="12" customHeight="1" x14ac:dyDescent="0.2">
      <c r="A54" s="163"/>
      <c r="B54" s="164"/>
      <c r="C54" s="238"/>
      <c r="D54" s="238"/>
      <c r="E54" s="254"/>
      <c r="F54" s="238"/>
      <c r="G54" s="254"/>
      <c r="H54" s="254"/>
      <c r="I54" s="254"/>
      <c r="J54" s="238"/>
      <c r="K54" s="168"/>
      <c r="L54" s="191"/>
      <c r="M54" s="212"/>
      <c r="N54" s="212"/>
      <c r="O54" s="212"/>
      <c r="P54" s="212"/>
      <c r="Q54" s="213"/>
      <c r="R54" s="213"/>
      <c r="S54" s="213"/>
      <c r="T54" s="174"/>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row>
    <row r="55" spans="1:58" s="175" customFormat="1" ht="12" customHeight="1" x14ac:dyDescent="0.2">
      <c r="A55" s="163"/>
      <c r="B55" s="164"/>
      <c r="C55" s="238"/>
      <c r="D55" s="267" t="s">
        <v>95</v>
      </c>
      <c r="E55" s="276"/>
      <c r="F55" s="267"/>
      <c r="G55" s="269">
        <f>G45+G53</f>
        <v>2075.0516542673331</v>
      </c>
      <c r="H55" s="276"/>
      <c r="I55" s="269">
        <f>I45+I53</f>
        <v>24900.619851207997</v>
      </c>
      <c r="J55" s="238"/>
      <c r="K55" s="168"/>
      <c r="L55" s="191"/>
      <c r="M55" s="212"/>
      <c r="N55" s="212"/>
      <c r="O55" s="212"/>
      <c r="P55" s="212"/>
      <c r="Q55" s="213"/>
      <c r="R55" s="213"/>
      <c r="S55" s="213"/>
      <c r="T55" s="174"/>
      <c r="U55" s="163"/>
      <c r="V55" s="163"/>
      <c r="W55" s="195"/>
      <c r="X55" s="163"/>
      <c r="Y55" s="163"/>
      <c r="Z55" s="204"/>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row>
    <row r="56" spans="1:58" s="175" customFormat="1" ht="12" customHeight="1" x14ac:dyDescent="0.2">
      <c r="A56" s="163"/>
      <c r="B56" s="164"/>
      <c r="C56" s="238"/>
      <c r="D56" s="238"/>
      <c r="E56" s="254"/>
      <c r="F56" s="238"/>
      <c r="G56" s="254"/>
      <c r="H56" s="254"/>
      <c r="I56" s="254"/>
      <c r="J56" s="238"/>
      <c r="K56" s="168"/>
      <c r="L56" s="191"/>
      <c r="M56" s="212"/>
      <c r="N56" s="212"/>
      <c r="O56" s="212"/>
      <c r="P56" s="212"/>
      <c r="Q56" s="213"/>
      <c r="R56" s="213"/>
      <c r="S56" s="213"/>
      <c r="T56" s="174"/>
      <c r="U56" s="163"/>
      <c r="V56" s="163"/>
      <c r="W56" s="195"/>
      <c r="X56" s="163"/>
      <c r="Y56" s="163"/>
      <c r="Z56" s="204"/>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row>
    <row r="57" spans="1:58" s="175" customFormat="1" ht="12" customHeight="1" x14ac:dyDescent="0.2">
      <c r="A57" s="163"/>
      <c r="B57" s="164"/>
      <c r="C57" s="191"/>
      <c r="D57" s="191"/>
      <c r="E57" s="192"/>
      <c r="F57" s="191"/>
      <c r="G57" s="192"/>
      <c r="H57" s="192"/>
      <c r="I57" s="192"/>
      <c r="J57" s="191"/>
      <c r="K57" s="168"/>
      <c r="L57" s="191"/>
      <c r="M57" s="212"/>
      <c r="N57" s="212"/>
      <c r="O57" s="212"/>
      <c r="P57" s="212"/>
      <c r="Q57" s="213"/>
      <c r="R57" s="213"/>
      <c r="S57" s="213"/>
      <c r="T57" s="174"/>
      <c r="U57" s="163"/>
      <c r="V57" s="163"/>
      <c r="W57" s="195"/>
      <c r="X57" s="163"/>
      <c r="Y57" s="163"/>
      <c r="Z57" s="204"/>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row>
    <row r="58" spans="1:58" s="175" customFormat="1" ht="12" customHeight="1" x14ac:dyDescent="0.2">
      <c r="A58" s="163"/>
      <c r="B58" s="164"/>
      <c r="C58" s="165"/>
      <c r="D58" s="165"/>
      <c r="E58" s="173"/>
      <c r="F58" s="165"/>
      <c r="G58" s="173"/>
      <c r="H58" s="173"/>
      <c r="I58" s="173"/>
      <c r="J58" s="165"/>
      <c r="K58" s="168"/>
      <c r="L58" s="191"/>
      <c r="M58" s="212"/>
      <c r="N58" s="212"/>
      <c r="O58" s="212"/>
      <c r="P58" s="212"/>
      <c r="Q58" s="213"/>
      <c r="R58" s="213"/>
      <c r="S58" s="213"/>
      <c r="T58" s="174"/>
      <c r="U58" s="163"/>
      <c r="V58" s="163"/>
      <c r="W58" s="195"/>
      <c r="X58" s="163"/>
      <c r="Y58" s="163"/>
      <c r="Z58" s="204"/>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row>
    <row r="59" spans="1:58" s="175" customFormat="1" ht="12" customHeight="1" x14ac:dyDescent="0.2">
      <c r="A59" s="163"/>
      <c r="B59" s="164"/>
      <c r="C59" s="165"/>
      <c r="D59" s="169" t="s">
        <v>96</v>
      </c>
      <c r="E59" s="199"/>
      <c r="F59" s="169"/>
      <c r="G59" s="196">
        <f>G31+G55</f>
        <v>8059.0416542673329</v>
      </c>
      <c r="H59" s="199"/>
      <c r="I59" s="196">
        <f>I31+I55</f>
        <v>96708.499851208006</v>
      </c>
      <c r="J59" s="165"/>
      <c r="K59" s="168"/>
      <c r="L59" s="191"/>
      <c r="M59" s="305"/>
      <c r="N59" s="212"/>
      <c r="O59" s="212"/>
      <c r="P59" s="212"/>
      <c r="Q59" s="213"/>
      <c r="R59" s="213"/>
      <c r="S59" s="213"/>
      <c r="T59" s="174"/>
      <c r="U59" s="163"/>
      <c r="V59" s="163"/>
      <c r="W59" s="195"/>
      <c r="X59" s="163"/>
      <c r="Y59" s="163"/>
      <c r="Z59" s="204"/>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row>
    <row r="60" spans="1:58" s="175" customFormat="1" ht="12" customHeight="1" x14ac:dyDescent="0.2">
      <c r="A60" s="163"/>
      <c r="B60" s="164"/>
      <c r="C60" s="165"/>
      <c r="D60" s="165"/>
      <c r="E60" s="173"/>
      <c r="F60" s="165"/>
      <c r="G60" s="173"/>
      <c r="H60" s="173"/>
      <c r="I60" s="173"/>
      <c r="J60" s="165"/>
      <c r="K60" s="168"/>
      <c r="L60" s="191"/>
      <c r="M60" s="212"/>
      <c r="N60" s="212"/>
      <c r="O60" s="212"/>
      <c r="P60" s="212"/>
      <c r="Q60" s="213"/>
      <c r="R60" s="213"/>
      <c r="S60" s="213"/>
      <c r="T60" s="174"/>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c r="BC60" s="163"/>
      <c r="BD60" s="163"/>
      <c r="BE60" s="163"/>
      <c r="BF60" s="163"/>
    </row>
    <row r="61" spans="1:58" s="175" customFormat="1" ht="12" customHeight="1" x14ac:dyDescent="0.2">
      <c r="A61" s="163"/>
      <c r="B61" s="164"/>
      <c r="C61" s="168"/>
      <c r="D61" s="168"/>
      <c r="E61" s="190"/>
      <c r="F61" s="168"/>
      <c r="G61" s="190"/>
      <c r="H61" s="190"/>
      <c r="I61" s="190"/>
      <c r="J61" s="168"/>
      <c r="K61" s="168"/>
      <c r="L61" s="191"/>
      <c r="M61" s="212"/>
      <c r="N61" s="212"/>
      <c r="O61" s="212"/>
      <c r="P61" s="212"/>
      <c r="Q61" s="213"/>
      <c r="R61" s="213"/>
      <c r="S61" s="213"/>
      <c r="T61" s="174"/>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row>
    <row r="62" spans="1:58" s="175" customFormat="1" ht="12" customHeight="1" x14ac:dyDescent="0.2">
      <c r="A62" s="163"/>
      <c r="B62" s="214"/>
      <c r="C62" s="215"/>
      <c r="D62" s="215"/>
      <c r="E62" s="216"/>
      <c r="F62" s="215"/>
      <c r="G62" s="217"/>
      <c r="H62" s="216"/>
      <c r="I62" s="217"/>
      <c r="J62" s="215"/>
      <c r="K62" s="218"/>
      <c r="L62" s="215"/>
      <c r="M62" s="215"/>
      <c r="N62" s="215"/>
      <c r="O62" s="215"/>
      <c r="P62" s="215"/>
      <c r="Q62" s="216"/>
      <c r="R62" s="216"/>
      <c r="S62" s="216"/>
      <c r="T62" s="219"/>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row>
    <row r="63" spans="1:58" s="163" customFormat="1" ht="12" customHeight="1" x14ac:dyDescent="0.2">
      <c r="E63" s="220"/>
      <c r="G63" s="220"/>
      <c r="H63" s="220"/>
      <c r="I63" s="220"/>
      <c r="Q63" s="220"/>
      <c r="R63" s="220"/>
      <c r="S63" s="220"/>
    </row>
    <row r="64" spans="1:58" s="163" customFormat="1" ht="12" customHeight="1" x14ac:dyDescent="0.2">
      <c r="E64" s="220"/>
      <c r="G64" s="220"/>
      <c r="H64" s="220"/>
      <c r="I64" s="220"/>
      <c r="Q64" s="220"/>
      <c r="R64" s="220"/>
      <c r="S64" s="220"/>
    </row>
    <row r="65" spans="4:23" s="163" customFormat="1" ht="12" customHeight="1" x14ac:dyDescent="0.2">
      <c r="D65" s="221"/>
      <c r="E65" s="220"/>
      <c r="G65" s="220"/>
      <c r="H65" s="220"/>
      <c r="I65" s="220"/>
      <c r="Q65" s="220"/>
      <c r="R65" s="220"/>
      <c r="S65" s="220"/>
      <c r="V65" s="222"/>
      <c r="W65" s="221"/>
    </row>
    <row r="66" spans="4:23" s="163" customFormat="1" ht="12" customHeight="1" x14ac:dyDescent="0.2">
      <c r="E66" s="220"/>
      <c r="G66" s="220"/>
      <c r="H66" s="220"/>
      <c r="I66" s="220"/>
      <c r="Q66" s="220"/>
      <c r="R66" s="220"/>
      <c r="S66" s="220"/>
      <c r="V66" s="222"/>
      <c r="W66" s="221"/>
    </row>
    <row r="67" spans="4:23" s="163" customFormat="1" ht="12" customHeight="1" x14ac:dyDescent="0.2">
      <c r="E67" s="220"/>
      <c r="G67" s="220"/>
      <c r="H67" s="220"/>
      <c r="I67" s="220"/>
      <c r="Q67" s="220"/>
      <c r="R67" s="220"/>
      <c r="S67" s="220"/>
      <c r="V67" s="222"/>
      <c r="W67" s="221"/>
    </row>
    <row r="68" spans="4:23" s="163" customFormat="1" ht="12" customHeight="1" x14ac:dyDescent="0.2">
      <c r="D68" s="234" t="s">
        <v>97</v>
      </c>
      <c r="E68" s="235"/>
      <c r="F68" s="235"/>
      <c r="G68" s="225">
        <f>IF($I$31/$G$19&lt;tabellen!E8,0,($I$31-tabellen!E8*$G$19)/12)*tabellen!$D8</f>
        <v>366.24069000000009</v>
      </c>
      <c r="H68" s="223"/>
      <c r="I68" s="226">
        <f>G68*12</f>
        <v>4394.888280000001</v>
      </c>
      <c r="J68" s="224"/>
      <c r="Q68" s="227"/>
      <c r="R68" s="227"/>
      <c r="S68" s="227"/>
      <c r="V68" s="222"/>
      <c r="W68" s="221"/>
    </row>
    <row r="69" spans="4:23" s="163" customFormat="1" ht="12" customHeight="1" x14ac:dyDescent="0.2">
      <c r="D69" s="234"/>
      <c r="E69" s="235"/>
      <c r="F69" s="235"/>
      <c r="G69" s="226">
        <f>G31-G68</f>
        <v>5617.7493099999992</v>
      </c>
      <c r="H69" s="223"/>
      <c r="I69" s="226">
        <f>I31-I68</f>
        <v>67412.991720000005</v>
      </c>
      <c r="J69" s="224"/>
      <c r="Q69" s="220"/>
      <c r="R69" s="220"/>
      <c r="S69" s="220"/>
      <c r="V69" s="228"/>
      <c r="W69" s="221"/>
    </row>
    <row r="70" spans="4:23" s="27" customFormat="1" ht="12" customHeight="1" x14ac:dyDescent="0.2">
      <c r="G70" s="28"/>
      <c r="H70" s="28"/>
      <c r="I70" s="28"/>
      <c r="Q70" s="28"/>
      <c r="R70" s="28"/>
      <c r="S70" s="28"/>
      <c r="V70" s="52"/>
      <c r="W70" s="50"/>
    </row>
    <row r="71" spans="4:23" s="27" customFormat="1" ht="12" customHeight="1" x14ac:dyDescent="0.2">
      <c r="E71" s="28"/>
      <c r="G71" s="28"/>
      <c r="H71" s="28"/>
      <c r="I71" s="28"/>
      <c r="Q71" s="28"/>
      <c r="R71" s="28"/>
      <c r="S71" s="28"/>
      <c r="V71" s="52"/>
      <c r="W71" s="50"/>
    </row>
    <row r="72" spans="4:23" s="27" customFormat="1" ht="12" customHeight="1" x14ac:dyDescent="0.2">
      <c r="E72" s="28"/>
      <c r="G72" s="28"/>
      <c r="H72" s="28"/>
      <c r="I72" s="28"/>
      <c r="Q72" s="28"/>
      <c r="R72" s="28"/>
      <c r="S72" s="28"/>
      <c r="V72" s="52"/>
      <c r="W72" s="50"/>
    </row>
    <row r="73" spans="4:23" s="27" customFormat="1" ht="12" customHeight="1" x14ac:dyDescent="0.2">
      <c r="E73" s="28"/>
      <c r="G73" s="28"/>
      <c r="H73" s="28"/>
      <c r="I73" s="28"/>
      <c r="Q73" s="28"/>
      <c r="R73" s="28"/>
      <c r="S73" s="28"/>
      <c r="V73" s="52"/>
      <c r="W73" s="50"/>
    </row>
    <row r="74" spans="4:23" s="27" customFormat="1" ht="12" customHeight="1" x14ac:dyDescent="0.2">
      <c r="E74" s="28"/>
      <c r="G74" s="28"/>
      <c r="H74" s="28"/>
      <c r="I74" s="28"/>
      <c r="Q74" s="28"/>
      <c r="R74" s="28"/>
      <c r="S74" s="28"/>
      <c r="V74" s="53"/>
      <c r="W74" s="50"/>
    </row>
    <row r="75" spans="4:23" s="27" customFormat="1" ht="12" customHeight="1" x14ac:dyDescent="0.2">
      <c r="E75" s="28"/>
      <c r="G75" s="28"/>
      <c r="H75" s="28"/>
      <c r="I75" s="28"/>
      <c r="Q75" s="28"/>
      <c r="R75" s="28"/>
      <c r="S75" s="28"/>
      <c r="V75" s="54"/>
      <c r="W75" s="50"/>
    </row>
    <row r="76" spans="4:23" s="27" customFormat="1" ht="12" customHeight="1" x14ac:dyDescent="0.2">
      <c r="E76" s="28"/>
      <c r="G76" s="28"/>
      <c r="H76" s="28"/>
      <c r="I76" s="28"/>
      <c r="Q76" s="28"/>
      <c r="R76" s="28"/>
      <c r="S76" s="28"/>
      <c r="V76" s="54"/>
      <c r="W76" s="50"/>
    </row>
    <row r="77" spans="4:23" s="27" customFormat="1" ht="12" customHeight="1" x14ac:dyDescent="0.2">
      <c r="E77" s="28"/>
      <c r="G77" s="28"/>
      <c r="H77" s="28"/>
      <c r="I77" s="28"/>
      <c r="Q77" s="28"/>
      <c r="R77" s="28"/>
      <c r="S77" s="28"/>
      <c r="V77" s="54"/>
      <c r="W77" s="50"/>
    </row>
    <row r="78" spans="4:23" s="27" customFormat="1" ht="12" customHeight="1" x14ac:dyDescent="0.2">
      <c r="E78" s="28"/>
      <c r="G78" s="28"/>
      <c r="H78" s="28"/>
      <c r="I78" s="28"/>
      <c r="Q78" s="28"/>
      <c r="R78" s="28"/>
      <c r="S78" s="28"/>
      <c r="V78" s="52"/>
      <c r="W78" s="50"/>
    </row>
    <row r="79" spans="4:23" s="27" customFormat="1" ht="12" customHeight="1" x14ac:dyDescent="0.2">
      <c r="E79" s="28"/>
      <c r="G79" s="28"/>
      <c r="H79" s="28"/>
      <c r="I79" s="28"/>
      <c r="Q79" s="28"/>
      <c r="R79" s="28"/>
      <c r="S79" s="28"/>
      <c r="V79" s="52"/>
      <c r="W79" s="50"/>
    </row>
    <row r="80" spans="4:23" s="27" customFormat="1" ht="12" customHeight="1" x14ac:dyDescent="0.2">
      <c r="E80" s="28"/>
      <c r="G80" s="28"/>
      <c r="H80" s="28"/>
      <c r="I80" s="28"/>
      <c r="Q80" s="28"/>
      <c r="R80" s="28"/>
      <c r="S80" s="28"/>
      <c r="V80" s="52"/>
      <c r="W80" s="50"/>
    </row>
    <row r="81" spans="5:24" s="27" customFormat="1" ht="12" customHeight="1" x14ac:dyDescent="0.2">
      <c r="E81" s="28"/>
      <c r="G81" s="28"/>
      <c r="H81" s="28"/>
      <c r="I81" s="28"/>
      <c r="Q81" s="28"/>
      <c r="R81" s="28"/>
      <c r="S81" s="28"/>
      <c r="V81" s="52"/>
      <c r="W81" s="50"/>
    </row>
    <row r="82" spans="5:24" s="27" customFormat="1" ht="12" customHeight="1" x14ac:dyDescent="0.2">
      <c r="E82" s="28"/>
      <c r="G82" s="28"/>
      <c r="H82" s="28"/>
      <c r="I82" s="28"/>
      <c r="Q82" s="28"/>
      <c r="R82" s="28"/>
      <c r="S82" s="28"/>
      <c r="V82" s="52"/>
      <c r="W82" s="50"/>
    </row>
    <row r="83" spans="5:24" s="27" customFormat="1" ht="12" customHeight="1" x14ac:dyDescent="0.2">
      <c r="E83" s="28"/>
      <c r="G83" s="28"/>
      <c r="H83" s="28"/>
      <c r="I83" s="28"/>
      <c r="Q83" s="28"/>
      <c r="R83" s="28"/>
      <c r="S83" s="28"/>
      <c r="V83" s="54"/>
      <c r="W83" s="50"/>
    </row>
    <row r="84" spans="5:24" s="27" customFormat="1" ht="12" customHeight="1" x14ac:dyDescent="0.2">
      <c r="E84" s="28"/>
      <c r="G84" s="28"/>
      <c r="H84" s="28"/>
      <c r="I84" s="28"/>
      <c r="Q84" s="28"/>
      <c r="R84" s="28"/>
      <c r="S84" s="28"/>
      <c r="V84" s="54"/>
      <c r="W84" s="50"/>
    </row>
    <row r="85" spans="5:24" s="27" customFormat="1" ht="12" customHeight="1" x14ac:dyDescent="0.2">
      <c r="E85" s="28"/>
      <c r="G85" s="28"/>
      <c r="H85" s="28"/>
      <c r="I85" s="28"/>
      <c r="Q85" s="28"/>
      <c r="R85" s="28"/>
      <c r="S85" s="28"/>
      <c r="V85" s="54"/>
      <c r="W85" s="50"/>
    </row>
    <row r="86" spans="5:24" s="27" customFormat="1" ht="12" customHeight="1" x14ac:dyDescent="0.2">
      <c r="E86" s="28"/>
      <c r="G86" s="28"/>
      <c r="H86" s="28"/>
      <c r="I86" s="28"/>
      <c r="Q86" s="28"/>
      <c r="R86" s="28"/>
      <c r="S86" s="28"/>
      <c r="V86" s="54"/>
      <c r="W86" s="50"/>
    </row>
    <row r="87" spans="5:24" s="27" customFormat="1" ht="12" customHeight="1" x14ac:dyDescent="0.2">
      <c r="E87" s="28"/>
      <c r="G87" s="28"/>
      <c r="H87" s="28"/>
      <c r="I87" s="28"/>
      <c r="Q87" s="28"/>
      <c r="R87" s="28"/>
      <c r="S87" s="28"/>
      <c r="V87" s="54"/>
      <c r="W87" s="50"/>
    </row>
    <row r="88" spans="5:24" s="27" customFormat="1" ht="12" customHeight="1" x14ac:dyDescent="0.2">
      <c r="E88" s="28"/>
      <c r="G88" s="28"/>
      <c r="H88" s="28"/>
      <c r="I88" s="28"/>
      <c r="Q88" s="28"/>
      <c r="R88" s="28"/>
      <c r="S88" s="28"/>
      <c r="V88" s="54"/>
      <c r="W88" s="50"/>
    </row>
    <row r="89" spans="5:24" s="27" customFormat="1" ht="12" customHeight="1" x14ac:dyDescent="0.2">
      <c r="E89" s="28"/>
      <c r="G89" s="28"/>
      <c r="H89" s="28"/>
      <c r="I89" s="28"/>
      <c r="Q89" s="28"/>
      <c r="R89" s="28"/>
      <c r="S89" s="28"/>
      <c r="V89" s="54"/>
      <c r="W89" s="50"/>
    </row>
    <row r="90" spans="5:24" s="27" customFormat="1" ht="12" customHeight="1" x14ac:dyDescent="0.2">
      <c r="E90" s="28"/>
      <c r="G90" s="28"/>
      <c r="H90" s="28"/>
      <c r="I90" s="28"/>
      <c r="Q90" s="28"/>
      <c r="R90" s="28"/>
      <c r="S90" s="28"/>
      <c r="V90" s="54"/>
      <c r="W90" s="50"/>
    </row>
    <row r="91" spans="5:24" s="27" customFormat="1" ht="12" customHeight="1" x14ac:dyDescent="0.2">
      <c r="E91" s="28"/>
      <c r="G91" s="28"/>
      <c r="H91" s="28"/>
      <c r="I91" s="28"/>
      <c r="Q91" s="28"/>
      <c r="R91" s="28"/>
      <c r="S91" s="28"/>
      <c r="V91" s="54"/>
      <c r="W91" s="50"/>
    </row>
    <row r="92" spans="5:24" s="27" customFormat="1" ht="12" customHeight="1" x14ac:dyDescent="0.2">
      <c r="E92" s="28"/>
      <c r="G92" s="28"/>
      <c r="H92" s="28"/>
      <c r="I92" s="28"/>
      <c r="Q92" s="28"/>
      <c r="R92" s="28"/>
      <c r="S92" s="28"/>
      <c r="V92" s="54"/>
      <c r="W92" s="50"/>
    </row>
    <row r="93" spans="5:24" s="27" customFormat="1" ht="12" customHeight="1" x14ac:dyDescent="0.2">
      <c r="E93" s="28"/>
      <c r="G93" s="28"/>
      <c r="H93" s="28"/>
      <c r="I93" s="28"/>
      <c r="Q93" s="28"/>
      <c r="R93" s="28"/>
      <c r="S93" s="28"/>
      <c r="V93" s="54"/>
      <c r="W93" s="50"/>
    </row>
    <row r="94" spans="5:24" s="27" customFormat="1" ht="12" customHeight="1" x14ac:dyDescent="0.2">
      <c r="E94" s="28"/>
      <c r="G94" s="28"/>
      <c r="H94" s="28"/>
      <c r="I94" s="28"/>
      <c r="Q94" s="28"/>
      <c r="R94" s="28"/>
      <c r="S94" s="28"/>
      <c r="V94" s="54"/>
      <c r="W94" s="50"/>
    </row>
    <row r="95" spans="5:24" s="27" customFormat="1" ht="12" customHeight="1" x14ac:dyDescent="0.2">
      <c r="E95" s="28"/>
      <c r="G95" s="28"/>
      <c r="H95" s="28"/>
      <c r="I95" s="28"/>
      <c r="Q95" s="28"/>
      <c r="R95" s="28"/>
      <c r="S95" s="28"/>
      <c r="V95" s="54"/>
      <c r="W95" s="50"/>
      <c r="X95" s="50"/>
    </row>
    <row r="96" spans="5:24" s="27" customFormat="1" ht="12" customHeight="1" x14ac:dyDescent="0.2">
      <c r="E96" s="28"/>
      <c r="G96" s="28"/>
      <c r="H96" s="28"/>
      <c r="I96" s="28"/>
      <c r="Q96" s="28"/>
      <c r="R96" s="28"/>
      <c r="S96" s="28"/>
      <c r="V96" s="54"/>
      <c r="W96" s="50"/>
      <c r="X96" s="50"/>
    </row>
    <row r="97" spans="5:24" s="27" customFormat="1" ht="12" customHeight="1" x14ac:dyDescent="0.2">
      <c r="E97" s="28"/>
      <c r="G97" s="28"/>
      <c r="H97" s="28"/>
      <c r="I97" s="28"/>
      <c r="Q97" s="28"/>
      <c r="R97" s="28"/>
      <c r="S97" s="28"/>
      <c r="V97" s="54"/>
      <c r="W97" s="50"/>
      <c r="X97" s="50"/>
    </row>
    <row r="98" spans="5:24" s="27" customFormat="1" ht="12" customHeight="1" x14ac:dyDescent="0.2">
      <c r="E98" s="28"/>
      <c r="G98" s="28"/>
      <c r="H98" s="28"/>
      <c r="I98" s="28"/>
      <c r="Q98" s="28"/>
      <c r="R98" s="28"/>
      <c r="S98" s="28"/>
      <c r="V98" s="54"/>
      <c r="W98" s="50"/>
      <c r="X98" s="50"/>
    </row>
    <row r="99" spans="5:24" s="27" customFormat="1" ht="12" customHeight="1" x14ac:dyDescent="0.2">
      <c r="E99" s="28"/>
      <c r="G99" s="28"/>
      <c r="H99" s="28"/>
      <c r="I99" s="28"/>
      <c r="Q99" s="28"/>
      <c r="R99" s="28"/>
      <c r="S99" s="28"/>
      <c r="V99" s="54"/>
      <c r="W99" s="50"/>
      <c r="X99" s="50"/>
    </row>
    <row r="100" spans="5:24" s="27" customFormat="1" ht="12" customHeight="1" x14ac:dyDescent="0.2">
      <c r="E100" s="28"/>
      <c r="G100" s="28"/>
      <c r="H100" s="28"/>
      <c r="I100" s="28"/>
      <c r="Q100" s="28"/>
      <c r="R100" s="28"/>
      <c r="S100" s="28"/>
      <c r="V100" s="54"/>
      <c r="W100" s="50"/>
      <c r="X100" s="50"/>
    </row>
    <row r="101" spans="5:24" s="27" customFormat="1" ht="12" customHeight="1" x14ac:dyDescent="0.2">
      <c r="E101" s="28"/>
      <c r="G101" s="28"/>
      <c r="H101" s="28"/>
      <c r="I101" s="28"/>
      <c r="Q101" s="28"/>
      <c r="R101" s="28"/>
      <c r="S101" s="28"/>
      <c r="W101" s="50"/>
      <c r="X101" s="50"/>
    </row>
    <row r="102" spans="5:24" s="27" customFormat="1" ht="12" customHeight="1" x14ac:dyDescent="0.2">
      <c r="E102" s="28"/>
      <c r="G102" s="28"/>
      <c r="H102" s="28"/>
      <c r="I102" s="28"/>
      <c r="Q102" s="28"/>
      <c r="R102" s="28"/>
      <c r="S102" s="28"/>
      <c r="W102" s="50"/>
      <c r="X102" s="50"/>
    </row>
    <row r="103" spans="5:24" s="27" customFormat="1" ht="12" customHeight="1" x14ac:dyDescent="0.2">
      <c r="E103" s="28"/>
      <c r="G103" s="28"/>
      <c r="H103" s="28"/>
      <c r="I103" s="28"/>
      <c r="Q103" s="28"/>
      <c r="R103" s="28"/>
      <c r="S103" s="28"/>
      <c r="W103" s="50"/>
      <c r="X103" s="50"/>
    </row>
    <row r="104" spans="5:24" s="27" customFormat="1" ht="12" customHeight="1" x14ac:dyDescent="0.2">
      <c r="E104" s="28"/>
      <c r="G104" s="28"/>
      <c r="H104" s="28"/>
      <c r="I104" s="28"/>
      <c r="Q104" s="28"/>
      <c r="R104" s="28"/>
      <c r="S104" s="28"/>
      <c r="W104" s="50"/>
      <c r="X104" s="50"/>
    </row>
    <row r="105" spans="5:24" s="27" customFormat="1" ht="12" customHeight="1" x14ac:dyDescent="0.2">
      <c r="E105" s="28"/>
      <c r="G105" s="28"/>
      <c r="H105" s="28"/>
      <c r="I105" s="28"/>
      <c r="Q105" s="28"/>
      <c r="R105" s="28"/>
      <c r="S105" s="28"/>
      <c r="W105" s="50"/>
      <c r="X105" s="50"/>
    </row>
    <row r="106" spans="5:24" s="27" customFormat="1" ht="12" customHeight="1" x14ac:dyDescent="0.2">
      <c r="E106" s="28"/>
      <c r="G106" s="28"/>
      <c r="H106" s="28"/>
      <c r="I106" s="28"/>
      <c r="Q106" s="28"/>
      <c r="R106" s="28"/>
      <c r="S106" s="28"/>
      <c r="W106" s="50"/>
      <c r="X106" s="50"/>
    </row>
    <row r="107" spans="5:24" s="27" customFormat="1" ht="12" customHeight="1" x14ac:dyDescent="0.2">
      <c r="E107" s="28"/>
      <c r="G107" s="28"/>
      <c r="H107" s="28"/>
      <c r="I107" s="28"/>
      <c r="Q107" s="28"/>
      <c r="R107" s="28"/>
      <c r="S107" s="28"/>
      <c r="W107" s="50"/>
      <c r="X107" s="50"/>
    </row>
    <row r="108" spans="5:24" s="27" customFormat="1" ht="12" customHeight="1" x14ac:dyDescent="0.2">
      <c r="E108" s="28"/>
      <c r="G108" s="28"/>
      <c r="H108" s="28"/>
      <c r="I108" s="28"/>
      <c r="Q108" s="28"/>
      <c r="R108" s="28"/>
      <c r="S108" s="28"/>
      <c r="W108" s="50"/>
      <c r="X108" s="50"/>
    </row>
    <row r="109" spans="5:24" s="27" customFormat="1" ht="12" customHeight="1" x14ac:dyDescent="0.2">
      <c r="E109" s="28"/>
      <c r="G109" s="28"/>
      <c r="H109" s="28"/>
      <c r="I109" s="28"/>
      <c r="Q109" s="28"/>
      <c r="R109" s="28"/>
      <c r="S109" s="28"/>
      <c r="W109" s="50"/>
      <c r="X109" s="50"/>
    </row>
    <row r="110" spans="5:24" s="27" customFormat="1" ht="12" customHeight="1" x14ac:dyDescent="0.2">
      <c r="E110" s="28"/>
      <c r="G110" s="28"/>
      <c r="H110" s="28"/>
      <c r="I110" s="28"/>
      <c r="Q110" s="28"/>
      <c r="R110" s="28"/>
      <c r="S110" s="28"/>
      <c r="W110" s="50"/>
      <c r="X110" s="50"/>
    </row>
    <row r="111" spans="5:24" s="27" customFormat="1" ht="12" customHeight="1" x14ac:dyDescent="0.2">
      <c r="E111" s="28"/>
      <c r="G111" s="28"/>
      <c r="H111" s="28"/>
      <c r="I111" s="28"/>
      <c r="Q111" s="28"/>
      <c r="R111" s="28"/>
      <c r="S111" s="28"/>
      <c r="W111" s="50"/>
    </row>
    <row r="112" spans="5:24" s="27" customFormat="1" ht="12" customHeight="1" x14ac:dyDescent="0.2">
      <c r="E112" s="28"/>
      <c r="G112" s="28"/>
      <c r="H112" s="28"/>
      <c r="I112" s="28"/>
      <c r="Q112" s="28"/>
      <c r="R112" s="28"/>
      <c r="S112" s="28"/>
      <c r="W112" s="50"/>
    </row>
    <row r="113" spans="2:23" s="27" customFormat="1" ht="12" customHeight="1" x14ac:dyDescent="0.2">
      <c r="E113" s="28"/>
      <c r="G113" s="28"/>
      <c r="H113" s="28"/>
      <c r="I113" s="28"/>
      <c r="Q113" s="28"/>
      <c r="R113" s="28"/>
      <c r="S113" s="28"/>
      <c r="W113" s="50"/>
    </row>
    <row r="114" spans="2:23" ht="12" customHeight="1" x14ac:dyDescent="0.2">
      <c r="B114" s="27"/>
      <c r="C114" s="27"/>
      <c r="D114" s="27"/>
      <c r="E114" s="28"/>
      <c r="F114" s="27"/>
      <c r="G114" s="28"/>
      <c r="H114" s="28"/>
      <c r="I114" s="28"/>
      <c r="J114" s="27"/>
      <c r="K114" s="27"/>
      <c r="L114" s="27"/>
      <c r="M114" s="27"/>
      <c r="N114" s="27"/>
      <c r="O114" s="27"/>
      <c r="P114" s="27"/>
      <c r="Q114" s="28"/>
      <c r="R114" s="28"/>
      <c r="S114" s="28"/>
      <c r="T114" s="27"/>
      <c r="W114" s="50"/>
    </row>
    <row r="115" spans="2:23" ht="12" customHeight="1" x14ac:dyDescent="0.2">
      <c r="B115" s="27"/>
      <c r="C115" s="27"/>
      <c r="D115" s="27"/>
      <c r="E115" s="28"/>
      <c r="F115" s="27"/>
      <c r="G115" s="28"/>
      <c r="H115" s="28"/>
      <c r="I115" s="28"/>
      <c r="J115" s="27"/>
      <c r="K115" s="27"/>
      <c r="L115" s="27"/>
      <c r="M115" s="27"/>
      <c r="N115" s="27"/>
      <c r="O115" s="27"/>
      <c r="P115" s="27"/>
      <c r="Q115" s="28"/>
      <c r="R115" s="28"/>
      <c r="S115" s="28"/>
      <c r="T115" s="27"/>
      <c r="W115" s="50"/>
    </row>
    <row r="116" spans="2:23" ht="12" customHeight="1" x14ac:dyDescent="0.2">
      <c r="B116" s="27"/>
      <c r="C116" s="27"/>
      <c r="D116" s="27"/>
      <c r="E116" s="28"/>
      <c r="F116" s="27"/>
      <c r="G116" s="28"/>
      <c r="H116" s="28"/>
      <c r="I116" s="28"/>
      <c r="J116" s="27"/>
      <c r="K116" s="27"/>
      <c r="L116" s="27"/>
      <c r="M116" s="27"/>
      <c r="N116" s="27"/>
      <c r="O116" s="27"/>
      <c r="P116" s="27"/>
      <c r="Q116" s="28"/>
      <c r="R116" s="28"/>
      <c r="S116" s="28"/>
      <c r="T116" s="27"/>
      <c r="W116" s="50"/>
    </row>
    <row r="117" spans="2:23" ht="12" customHeight="1" x14ac:dyDescent="0.2">
      <c r="B117" s="27"/>
      <c r="C117" s="27"/>
      <c r="D117" s="27"/>
      <c r="E117" s="28"/>
      <c r="F117" s="27"/>
      <c r="G117" s="28"/>
      <c r="H117" s="28"/>
      <c r="I117" s="28"/>
      <c r="J117" s="27"/>
      <c r="K117" s="27"/>
      <c r="L117" s="27"/>
      <c r="M117" s="27"/>
      <c r="N117" s="27"/>
      <c r="O117" s="27"/>
      <c r="P117" s="27"/>
      <c r="Q117" s="28"/>
      <c r="R117" s="28"/>
      <c r="S117" s="28"/>
      <c r="T117" s="27"/>
    </row>
    <row r="118" spans="2:23" ht="12" customHeight="1" x14ac:dyDescent="0.2">
      <c r="B118" s="27"/>
      <c r="C118" s="27"/>
      <c r="D118" s="27"/>
      <c r="E118" s="28"/>
      <c r="F118" s="27"/>
      <c r="G118" s="28"/>
      <c r="H118" s="28"/>
      <c r="I118" s="28"/>
      <c r="J118" s="27"/>
      <c r="K118" s="27"/>
      <c r="L118" s="27"/>
      <c r="M118" s="27"/>
      <c r="N118" s="27"/>
      <c r="O118" s="27"/>
      <c r="P118" s="27"/>
      <c r="Q118" s="28"/>
      <c r="R118" s="28"/>
      <c r="S118" s="28"/>
      <c r="T118" s="27"/>
    </row>
    <row r="119" spans="2:23" ht="12" customHeight="1" x14ac:dyDescent="0.2">
      <c r="B119" s="27"/>
      <c r="C119" s="27"/>
      <c r="D119" s="27"/>
      <c r="E119" s="28"/>
      <c r="F119" s="27"/>
      <c r="G119" s="28"/>
      <c r="H119" s="28"/>
      <c r="I119" s="28"/>
      <c r="J119" s="27"/>
      <c r="K119" s="27"/>
      <c r="L119" s="27"/>
      <c r="M119" s="27"/>
      <c r="N119" s="27"/>
      <c r="O119" s="27"/>
      <c r="P119" s="27"/>
      <c r="Q119" s="28"/>
      <c r="R119" s="28"/>
      <c r="S119" s="28"/>
      <c r="T119" s="27"/>
    </row>
    <row r="120" spans="2:23" ht="12" customHeight="1" x14ac:dyDescent="0.2">
      <c r="B120" s="27"/>
      <c r="C120" s="27"/>
      <c r="D120" s="27"/>
      <c r="E120" s="28"/>
      <c r="F120" s="27"/>
      <c r="G120" s="28"/>
      <c r="H120" s="28"/>
      <c r="I120" s="28"/>
      <c r="J120" s="27"/>
      <c r="K120" s="27"/>
      <c r="L120" s="27"/>
      <c r="M120" s="27"/>
      <c r="N120" s="27"/>
      <c r="O120" s="27"/>
      <c r="P120" s="27"/>
      <c r="Q120" s="28"/>
      <c r="R120" s="28"/>
      <c r="S120" s="28"/>
      <c r="T120" s="27"/>
    </row>
    <row r="121" spans="2:23" ht="12" customHeight="1" x14ac:dyDescent="0.2">
      <c r="B121" s="27"/>
      <c r="C121" s="27"/>
      <c r="D121" s="27"/>
      <c r="E121" s="28"/>
      <c r="F121" s="27"/>
      <c r="G121" s="28"/>
      <c r="H121" s="28"/>
      <c r="I121" s="28"/>
      <c r="J121" s="27"/>
      <c r="K121" s="27"/>
      <c r="L121" s="27"/>
      <c r="M121" s="27"/>
      <c r="N121" s="27"/>
      <c r="O121" s="27"/>
      <c r="P121" s="27"/>
      <c r="Q121" s="28"/>
      <c r="R121" s="28"/>
      <c r="S121" s="28"/>
      <c r="T121" s="27"/>
    </row>
    <row r="122" spans="2:23" ht="12" customHeight="1" x14ac:dyDescent="0.2">
      <c r="B122" s="27"/>
      <c r="C122" s="27"/>
      <c r="D122" s="27"/>
      <c r="E122" s="28"/>
      <c r="F122" s="27"/>
      <c r="G122" s="28"/>
      <c r="H122" s="28"/>
      <c r="I122" s="28"/>
      <c r="J122" s="27"/>
      <c r="K122" s="27"/>
      <c r="L122" s="27"/>
      <c r="M122" s="27"/>
      <c r="N122" s="27"/>
      <c r="O122" s="27"/>
      <c r="P122" s="27"/>
      <c r="Q122" s="28"/>
      <c r="R122" s="28"/>
      <c r="S122" s="28"/>
      <c r="T122" s="27"/>
    </row>
    <row r="123" spans="2:23" ht="12" customHeight="1" x14ac:dyDescent="0.2">
      <c r="B123" s="27"/>
      <c r="C123" s="27"/>
      <c r="D123" s="27"/>
      <c r="E123" s="28"/>
      <c r="F123" s="27"/>
      <c r="G123" s="28"/>
      <c r="H123" s="28"/>
      <c r="I123" s="28"/>
      <c r="J123" s="27"/>
      <c r="K123" s="27"/>
      <c r="L123" s="27"/>
      <c r="M123" s="27"/>
      <c r="N123" s="27"/>
      <c r="O123" s="27"/>
      <c r="P123" s="27"/>
      <c r="Q123" s="28"/>
      <c r="R123" s="28"/>
      <c r="S123" s="28"/>
      <c r="T123" s="27"/>
    </row>
    <row r="124" spans="2:23" ht="12" customHeight="1" x14ac:dyDescent="0.2">
      <c r="B124" s="27"/>
      <c r="C124" s="27"/>
      <c r="D124" s="27"/>
      <c r="E124" s="28"/>
      <c r="F124" s="27"/>
      <c r="G124" s="28"/>
      <c r="H124" s="28"/>
      <c r="I124" s="28"/>
      <c r="J124" s="27"/>
      <c r="K124" s="27"/>
      <c r="L124" s="27"/>
      <c r="M124" s="27"/>
      <c r="N124" s="27"/>
      <c r="O124" s="27"/>
      <c r="P124" s="27"/>
      <c r="Q124" s="28"/>
      <c r="R124" s="28"/>
      <c r="S124" s="28"/>
      <c r="T124" s="27"/>
    </row>
    <row r="125" spans="2:23" ht="12" customHeight="1" x14ac:dyDescent="0.2">
      <c r="B125" s="27"/>
      <c r="C125" s="27"/>
      <c r="D125" s="27"/>
      <c r="E125" s="28"/>
      <c r="F125" s="27"/>
      <c r="G125" s="28"/>
      <c r="H125" s="28"/>
      <c r="I125" s="28"/>
      <c r="J125" s="27"/>
      <c r="K125" s="27"/>
      <c r="L125" s="27"/>
      <c r="M125" s="27"/>
      <c r="N125" s="27"/>
      <c r="O125" s="27"/>
      <c r="P125" s="27"/>
      <c r="Q125" s="28"/>
      <c r="R125" s="28"/>
      <c r="S125" s="28"/>
      <c r="T125" s="27"/>
    </row>
    <row r="126" spans="2:23" ht="12" customHeight="1" x14ac:dyDescent="0.2">
      <c r="B126" s="27"/>
      <c r="C126" s="27"/>
      <c r="D126" s="27"/>
      <c r="E126" s="28"/>
      <c r="F126" s="27"/>
      <c r="G126" s="28"/>
      <c r="H126" s="28"/>
      <c r="I126" s="28"/>
      <c r="J126" s="27"/>
      <c r="K126" s="27"/>
      <c r="L126" s="27"/>
      <c r="M126" s="27"/>
      <c r="N126" s="27"/>
      <c r="O126" s="27"/>
      <c r="P126" s="27"/>
      <c r="Q126" s="28"/>
      <c r="R126" s="28"/>
      <c r="S126" s="28"/>
      <c r="T126" s="27"/>
    </row>
    <row r="127" spans="2:23" ht="12" customHeight="1" x14ac:dyDescent="0.2">
      <c r="B127" s="27"/>
      <c r="C127" s="27"/>
      <c r="D127" s="27"/>
      <c r="E127" s="28"/>
      <c r="F127" s="27"/>
      <c r="G127" s="28"/>
      <c r="H127" s="28"/>
      <c r="I127" s="28"/>
      <c r="J127" s="27"/>
      <c r="K127" s="27"/>
      <c r="L127" s="27"/>
      <c r="M127" s="27"/>
      <c r="N127" s="27"/>
      <c r="O127" s="27"/>
      <c r="P127" s="27"/>
      <c r="Q127" s="28"/>
      <c r="R127" s="28"/>
      <c r="S127" s="28"/>
      <c r="T127" s="27"/>
    </row>
    <row r="128" spans="2:23" ht="12" customHeight="1" x14ac:dyDescent="0.2">
      <c r="B128" s="27"/>
      <c r="C128" s="27"/>
      <c r="D128" s="27"/>
      <c r="E128" s="28"/>
      <c r="F128" s="27"/>
      <c r="G128" s="28"/>
      <c r="H128" s="28"/>
      <c r="I128" s="28"/>
      <c r="J128" s="27"/>
      <c r="K128" s="27"/>
      <c r="L128" s="27"/>
      <c r="M128" s="27"/>
      <c r="N128" s="27"/>
      <c r="O128" s="27"/>
      <c r="P128" s="27"/>
      <c r="Q128" s="28"/>
      <c r="R128" s="28"/>
      <c r="S128" s="28"/>
      <c r="T128" s="27"/>
    </row>
    <row r="129" spans="2:20" ht="12" customHeight="1" x14ac:dyDescent="0.2">
      <c r="B129" s="27"/>
      <c r="C129" s="27"/>
      <c r="D129" s="27"/>
      <c r="E129" s="28"/>
      <c r="F129" s="27"/>
      <c r="G129" s="28"/>
      <c r="H129" s="28"/>
      <c r="I129" s="28"/>
      <c r="J129" s="27"/>
      <c r="K129" s="27"/>
      <c r="L129" s="27"/>
      <c r="M129" s="27"/>
      <c r="N129" s="27"/>
      <c r="O129" s="27"/>
      <c r="P129" s="27"/>
      <c r="Q129" s="28"/>
      <c r="R129" s="28"/>
      <c r="S129" s="28"/>
      <c r="T129" s="27"/>
    </row>
    <row r="130" spans="2:20" ht="12" customHeight="1" x14ac:dyDescent="0.2">
      <c r="B130" s="27"/>
      <c r="C130" s="27"/>
      <c r="D130" s="27"/>
      <c r="E130" s="28"/>
      <c r="F130" s="27"/>
      <c r="G130" s="28"/>
      <c r="H130" s="28"/>
      <c r="I130" s="28"/>
      <c r="J130" s="27"/>
      <c r="K130" s="27"/>
      <c r="L130" s="27"/>
      <c r="M130" s="27"/>
      <c r="N130" s="27"/>
      <c r="O130" s="27"/>
      <c r="P130" s="27"/>
      <c r="Q130" s="28"/>
      <c r="R130" s="28"/>
      <c r="S130" s="28"/>
      <c r="T130" s="27"/>
    </row>
    <row r="131" spans="2:20" ht="12" customHeight="1" x14ac:dyDescent="0.2">
      <c r="B131" s="27"/>
      <c r="C131" s="27"/>
      <c r="D131" s="27"/>
      <c r="E131" s="28"/>
      <c r="F131" s="27"/>
      <c r="G131" s="28"/>
      <c r="H131" s="28"/>
      <c r="I131" s="28"/>
      <c r="J131" s="27"/>
      <c r="K131" s="27"/>
      <c r="L131" s="27"/>
      <c r="M131" s="27"/>
      <c r="N131" s="27"/>
      <c r="O131" s="27"/>
      <c r="P131" s="27"/>
      <c r="Q131" s="28"/>
      <c r="R131" s="28"/>
      <c r="S131" s="28"/>
      <c r="T131" s="27"/>
    </row>
    <row r="132" spans="2:20" ht="12" customHeight="1" x14ac:dyDescent="0.2">
      <c r="B132" s="27"/>
      <c r="C132" s="27"/>
      <c r="D132" s="27"/>
      <c r="E132" s="28"/>
      <c r="F132" s="27"/>
      <c r="G132" s="28"/>
      <c r="H132" s="28"/>
      <c r="I132" s="28"/>
      <c r="J132" s="27"/>
      <c r="K132" s="27"/>
      <c r="L132" s="27"/>
      <c r="M132" s="27"/>
      <c r="N132" s="27"/>
      <c r="O132" s="27"/>
      <c r="P132" s="27"/>
      <c r="Q132" s="28"/>
      <c r="R132" s="28"/>
      <c r="S132" s="28"/>
      <c r="T132" s="27"/>
    </row>
    <row r="133" spans="2:20" ht="12" customHeight="1" x14ac:dyDescent="0.2">
      <c r="B133" s="27"/>
      <c r="C133" s="27"/>
      <c r="D133" s="27"/>
      <c r="E133" s="28"/>
      <c r="F133" s="27"/>
      <c r="G133" s="28"/>
      <c r="H133" s="28"/>
      <c r="I133" s="28"/>
      <c r="J133" s="27"/>
      <c r="K133" s="27"/>
      <c r="L133" s="27"/>
      <c r="M133" s="27"/>
      <c r="N133" s="27"/>
      <c r="O133" s="27"/>
      <c r="P133" s="27"/>
      <c r="Q133" s="28"/>
      <c r="R133" s="28"/>
      <c r="S133" s="28"/>
      <c r="T133" s="27"/>
    </row>
    <row r="134" spans="2:20" ht="12" customHeight="1" x14ac:dyDescent="0.2">
      <c r="B134" s="27"/>
      <c r="C134" s="27"/>
      <c r="D134" s="27"/>
      <c r="E134" s="28"/>
      <c r="F134" s="27"/>
      <c r="G134" s="28"/>
      <c r="H134" s="28"/>
      <c r="I134" s="28"/>
      <c r="J134" s="27"/>
      <c r="K134" s="27"/>
      <c r="L134" s="27"/>
      <c r="M134" s="27"/>
      <c r="N134" s="27"/>
      <c r="O134" s="27"/>
      <c r="P134" s="27"/>
      <c r="Q134" s="28"/>
      <c r="R134" s="28"/>
      <c r="S134" s="28"/>
      <c r="T134" s="27"/>
    </row>
    <row r="135" spans="2:20" ht="12" customHeight="1" x14ac:dyDescent="0.2">
      <c r="B135" s="27"/>
      <c r="C135" s="27"/>
      <c r="D135" s="27"/>
      <c r="E135" s="28"/>
      <c r="F135" s="27"/>
      <c r="G135" s="28"/>
      <c r="H135" s="28"/>
      <c r="I135" s="28"/>
      <c r="J135" s="27"/>
      <c r="K135" s="27"/>
      <c r="L135" s="27"/>
      <c r="M135" s="27"/>
      <c r="N135" s="27"/>
      <c r="O135" s="27"/>
      <c r="P135" s="27"/>
      <c r="Q135" s="28"/>
      <c r="R135" s="28"/>
      <c r="S135" s="28"/>
      <c r="T135" s="27"/>
    </row>
    <row r="136" spans="2:20" ht="12" customHeight="1" x14ac:dyDescent="0.2">
      <c r="B136" s="27"/>
      <c r="C136" s="27"/>
      <c r="D136" s="27"/>
      <c r="E136" s="28"/>
      <c r="F136" s="27"/>
      <c r="G136" s="28"/>
      <c r="H136" s="28"/>
      <c r="I136" s="28"/>
      <c r="J136" s="27"/>
      <c r="K136" s="27"/>
      <c r="L136" s="27"/>
      <c r="M136" s="27"/>
      <c r="N136" s="27"/>
      <c r="O136" s="27"/>
      <c r="P136" s="27"/>
      <c r="Q136" s="28"/>
      <c r="R136" s="28"/>
      <c r="S136" s="28"/>
      <c r="T136" s="27"/>
    </row>
    <row r="137" spans="2:20" ht="12" customHeight="1" x14ac:dyDescent="0.2">
      <c r="B137" s="27"/>
      <c r="C137" s="27"/>
      <c r="D137" s="27"/>
      <c r="E137" s="28"/>
      <c r="F137" s="27"/>
      <c r="G137" s="28"/>
      <c r="H137" s="28"/>
      <c r="I137" s="28"/>
      <c r="J137" s="27"/>
      <c r="K137" s="27"/>
      <c r="L137" s="27"/>
      <c r="M137" s="27"/>
      <c r="N137" s="27"/>
      <c r="O137" s="27"/>
      <c r="P137" s="27"/>
      <c r="Q137" s="28"/>
      <c r="R137" s="28"/>
      <c r="S137" s="28"/>
      <c r="T137" s="27"/>
    </row>
    <row r="138" spans="2:20" ht="12" customHeight="1" x14ac:dyDescent="0.2">
      <c r="B138" s="27"/>
      <c r="C138" s="27"/>
      <c r="D138" s="27"/>
      <c r="E138" s="28"/>
      <c r="F138" s="27"/>
      <c r="G138" s="28"/>
      <c r="H138" s="28"/>
      <c r="I138" s="28"/>
      <c r="J138" s="27"/>
      <c r="K138" s="27"/>
      <c r="L138" s="27"/>
      <c r="M138" s="27"/>
      <c r="N138" s="27"/>
      <c r="O138" s="27"/>
      <c r="P138" s="27"/>
      <c r="Q138" s="28"/>
      <c r="R138" s="28"/>
      <c r="S138" s="28"/>
      <c r="T138" s="27"/>
    </row>
    <row r="139" spans="2:20" ht="12" customHeight="1" x14ac:dyDescent="0.2">
      <c r="B139" s="27"/>
      <c r="C139" s="27"/>
      <c r="D139" s="27"/>
      <c r="E139" s="28"/>
      <c r="F139" s="27"/>
      <c r="G139" s="28"/>
      <c r="H139" s="28"/>
      <c r="I139" s="28"/>
      <c r="J139" s="27"/>
      <c r="K139" s="27"/>
      <c r="L139" s="27"/>
      <c r="M139" s="27"/>
      <c r="N139" s="27"/>
      <c r="O139" s="27"/>
      <c r="P139" s="27"/>
      <c r="Q139" s="28"/>
      <c r="R139" s="28"/>
      <c r="S139" s="28"/>
      <c r="T139" s="27"/>
    </row>
    <row r="140" spans="2:20" ht="12" customHeight="1" x14ac:dyDescent="0.2">
      <c r="B140" s="27"/>
      <c r="C140" s="27"/>
      <c r="D140" s="27"/>
      <c r="E140" s="28"/>
      <c r="F140" s="27"/>
      <c r="G140" s="28"/>
      <c r="H140" s="28"/>
      <c r="I140" s="28"/>
      <c r="J140" s="27"/>
      <c r="K140" s="27"/>
      <c r="L140" s="27"/>
      <c r="M140" s="27"/>
      <c r="N140" s="27"/>
      <c r="O140" s="27"/>
      <c r="P140" s="27"/>
      <c r="Q140" s="28"/>
      <c r="R140" s="28"/>
      <c r="S140" s="28"/>
      <c r="T140" s="27"/>
    </row>
    <row r="141" spans="2:20" ht="12" customHeight="1" x14ac:dyDescent="0.2">
      <c r="B141" s="27"/>
      <c r="C141" s="27"/>
      <c r="D141" s="27"/>
      <c r="E141" s="28"/>
      <c r="F141" s="27"/>
      <c r="G141" s="28"/>
      <c r="H141" s="28"/>
      <c r="I141" s="28"/>
      <c r="J141" s="27"/>
      <c r="K141" s="27"/>
      <c r="L141" s="27"/>
      <c r="M141" s="27"/>
      <c r="N141" s="27"/>
      <c r="O141" s="27"/>
      <c r="P141" s="27"/>
      <c r="Q141" s="28"/>
      <c r="R141" s="28"/>
      <c r="S141" s="28"/>
      <c r="T141" s="27"/>
    </row>
    <row r="142" spans="2:20" ht="12" customHeight="1" x14ac:dyDescent="0.2">
      <c r="B142" s="27"/>
      <c r="C142" s="27"/>
      <c r="D142" s="27"/>
      <c r="E142" s="28"/>
      <c r="F142" s="27"/>
      <c r="G142" s="28"/>
      <c r="H142" s="28"/>
      <c r="I142" s="28"/>
      <c r="J142" s="27"/>
      <c r="K142" s="27"/>
      <c r="L142" s="27"/>
      <c r="M142" s="27"/>
      <c r="N142" s="27"/>
      <c r="O142" s="27"/>
      <c r="P142" s="27"/>
      <c r="Q142" s="28"/>
      <c r="R142" s="28"/>
      <c r="S142" s="28"/>
      <c r="T142" s="27"/>
    </row>
    <row r="143" spans="2:20" ht="12" customHeight="1" x14ac:dyDescent="0.2">
      <c r="B143" s="27"/>
      <c r="C143" s="27"/>
      <c r="D143" s="27"/>
      <c r="E143" s="28"/>
      <c r="F143" s="27"/>
      <c r="G143" s="28"/>
      <c r="H143" s="28"/>
      <c r="I143" s="28"/>
      <c r="J143" s="27"/>
      <c r="K143" s="27"/>
      <c r="L143" s="27"/>
      <c r="M143" s="27"/>
      <c r="N143" s="27"/>
      <c r="O143" s="27"/>
      <c r="P143" s="27"/>
      <c r="Q143" s="28"/>
      <c r="R143" s="28"/>
      <c r="S143" s="28"/>
      <c r="T143" s="27"/>
    </row>
    <row r="144" spans="2:20" ht="12" customHeight="1" x14ac:dyDescent="0.2">
      <c r="B144" s="27"/>
      <c r="C144" s="27"/>
      <c r="D144" s="27"/>
      <c r="E144" s="28"/>
      <c r="F144" s="27"/>
      <c r="G144" s="28"/>
      <c r="H144" s="28"/>
      <c r="I144" s="28"/>
      <c r="J144" s="27"/>
      <c r="K144" s="27"/>
      <c r="L144" s="27"/>
      <c r="M144" s="27"/>
      <c r="N144" s="27"/>
      <c r="O144" s="27"/>
      <c r="P144" s="27"/>
      <c r="Q144" s="28"/>
      <c r="R144" s="28"/>
      <c r="S144" s="28"/>
      <c r="T144" s="27"/>
    </row>
    <row r="145" spans="2:20" ht="12" customHeight="1" x14ac:dyDescent="0.2">
      <c r="B145" s="27"/>
      <c r="C145" s="27"/>
      <c r="D145" s="27"/>
      <c r="E145" s="28"/>
      <c r="F145" s="27"/>
      <c r="G145" s="28"/>
      <c r="H145" s="28"/>
      <c r="I145" s="28"/>
      <c r="J145" s="27"/>
      <c r="K145" s="27"/>
      <c r="L145" s="27"/>
      <c r="M145" s="27"/>
      <c r="N145" s="27"/>
      <c r="O145" s="27"/>
      <c r="P145" s="27"/>
      <c r="Q145" s="28"/>
      <c r="R145" s="28"/>
      <c r="S145" s="28"/>
      <c r="T145" s="27"/>
    </row>
    <row r="146" spans="2:20" ht="12" customHeight="1" x14ac:dyDescent="0.2">
      <c r="B146" s="27"/>
      <c r="C146" s="27"/>
      <c r="D146" s="27"/>
      <c r="E146" s="28"/>
      <c r="F146" s="27"/>
      <c r="G146" s="28"/>
      <c r="H146" s="28"/>
      <c r="I146" s="28"/>
      <c r="J146" s="27"/>
      <c r="K146" s="27"/>
      <c r="L146" s="27"/>
      <c r="M146" s="27"/>
      <c r="N146" s="27"/>
      <c r="O146" s="27"/>
      <c r="P146" s="27"/>
      <c r="Q146" s="28"/>
      <c r="R146" s="28"/>
      <c r="S146" s="28"/>
      <c r="T146" s="27"/>
    </row>
    <row r="147" spans="2:20" ht="12" customHeight="1" x14ac:dyDescent="0.2">
      <c r="B147" s="27"/>
      <c r="C147" s="27"/>
      <c r="D147" s="27"/>
      <c r="E147" s="28"/>
      <c r="F147" s="27"/>
      <c r="G147" s="28"/>
      <c r="H147" s="28"/>
      <c r="I147" s="28"/>
      <c r="J147" s="27"/>
      <c r="K147" s="27"/>
      <c r="L147" s="27"/>
      <c r="M147" s="27"/>
      <c r="N147" s="27"/>
      <c r="O147" s="27"/>
      <c r="P147" s="27"/>
      <c r="Q147" s="28"/>
      <c r="R147" s="28"/>
      <c r="S147" s="28"/>
      <c r="T147" s="27"/>
    </row>
    <row r="148" spans="2:20" ht="12" customHeight="1" x14ac:dyDescent="0.2">
      <c r="B148" s="27"/>
      <c r="C148" s="27"/>
      <c r="D148" s="27"/>
      <c r="E148" s="28"/>
      <c r="F148" s="27"/>
      <c r="G148" s="28"/>
      <c r="H148" s="28"/>
      <c r="I148" s="28"/>
      <c r="J148" s="27"/>
      <c r="K148" s="27"/>
      <c r="L148" s="27"/>
      <c r="M148" s="27"/>
      <c r="N148" s="27"/>
      <c r="O148" s="27"/>
      <c r="P148" s="27"/>
      <c r="Q148" s="28"/>
      <c r="R148" s="28"/>
      <c r="S148" s="28"/>
      <c r="T148" s="27"/>
    </row>
    <row r="149" spans="2:20" ht="12" customHeight="1" x14ac:dyDescent="0.2">
      <c r="B149" s="27"/>
      <c r="C149" s="27"/>
      <c r="D149" s="27"/>
      <c r="E149" s="28"/>
      <c r="F149" s="27"/>
      <c r="G149" s="28"/>
      <c r="H149" s="28"/>
      <c r="I149" s="28"/>
      <c r="J149" s="27"/>
      <c r="K149" s="27"/>
      <c r="L149" s="27"/>
      <c r="M149" s="27"/>
      <c r="N149" s="27"/>
      <c r="O149" s="27"/>
      <c r="P149" s="27"/>
      <c r="Q149" s="28"/>
      <c r="R149" s="28"/>
      <c r="S149" s="28"/>
      <c r="T149" s="27"/>
    </row>
    <row r="150" spans="2:20" ht="12" customHeight="1" x14ac:dyDescent="0.2">
      <c r="B150" s="27"/>
      <c r="C150" s="27"/>
      <c r="D150" s="27"/>
      <c r="E150" s="28"/>
      <c r="F150" s="27"/>
      <c r="G150" s="28"/>
      <c r="H150" s="28"/>
      <c r="I150" s="28"/>
      <c r="J150" s="27"/>
      <c r="K150" s="27"/>
      <c r="L150" s="27"/>
      <c r="M150" s="27"/>
      <c r="N150" s="27"/>
      <c r="O150" s="27"/>
      <c r="P150" s="27"/>
      <c r="Q150" s="28"/>
      <c r="R150" s="28"/>
      <c r="S150" s="28"/>
      <c r="T150" s="27"/>
    </row>
    <row r="151" spans="2:20" ht="12" customHeight="1" x14ac:dyDescent="0.2">
      <c r="B151" s="27"/>
      <c r="C151" s="27"/>
      <c r="D151" s="27"/>
      <c r="E151" s="28"/>
      <c r="F151" s="27"/>
      <c r="G151" s="28"/>
      <c r="H151" s="28"/>
      <c r="I151" s="28"/>
      <c r="J151" s="27"/>
      <c r="K151" s="27"/>
      <c r="L151" s="27"/>
      <c r="M151" s="27"/>
      <c r="N151" s="27"/>
      <c r="O151" s="27"/>
      <c r="P151" s="27"/>
      <c r="Q151" s="28"/>
      <c r="R151" s="28"/>
      <c r="S151" s="28"/>
      <c r="T151" s="27"/>
    </row>
    <row r="152" spans="2:20" ht="12" customHeight="1" x14ac:dyDescent="0.2">
      <c r="B152" s="27"/>
      <c r="C152" s="27"/>
      <c r="D152" s="27"/>
      <c r="E152" s="28"/>
      <c r="F152" s="27"/>
      <c r="G152" s="28"/>
      <c r="H152" s="28"/>
      <c r="I152" s="28"/>
      <c r="J152" s="27"/>
      <c r="K152" s="27"/>
      <c r="L152" s="27"/>
      <c r="M152" s="27"/>
      <c r="N152" s="27"/>
      <c r="O152" s="27"/>
      <c r="P152" s="27"/>
      <c r="Q152" s="28"/>
      <c r="R152" s="28"/>
      <c r="S152" s="28"/>
      <c r="T152" s="27"/>
    </row>
    <row r="153" spans="2:20" ht="12" customHeight="1" x14ac:dyDescent="0.2">
      <c r="B153" s="27"/>
      <c r="C153" s="27"/>
      <c r="D153" s="27"/>
      <c r="E153" s="28"/>
      <c r="F153" s="27"/>
      <c r="G153" s="28"/>
      <c r="H153" s="28"/>
      <c r="I153" s="28"/>
      <c r="J153" s="27"/>
      <c r="K153" s="27"/>
      <c r="L153" s="27"/>
      <c r="M153" s="27"/>
      <c r="N153" s="27"/>
      <c r="O153" s="27"/>
      <c r="P153" s="27"/>
      <c r="Q153" s="28"/>
      <c r="R153" s="28"/>
      <c r="S153" s="28"/>
      <c r="T153" s="27"/>
    </row>
    <row r="154" spans="2:20" ht="12" customHeight="1" x14ac:dyDescent="0.2">
      <c r="B154" s="27"/>
      <c r="C154" s="27"/>
      <c r="D154" s="27"/>
      <c r="E154" s="28"/>
      <c r="F154" s="27"/>
      <c r="G154" s="28"/>
      <c r="H154" s="28"/>
      <c r="I154" s="28"/>
      <c r="J154" s="27"/>
      <c r="K154" s="27"/>
      <c r="L154" s="27"/>
      <c r="M154" s="27"/>
      <c r="N154" s="27"/>
      <c r="O154" s="27"/>
      <c r="P154" s="27"/>
      <c r="Q154" s="28"/>
      <c r="R154" s="28"/>
      <c r="S154" s="28"/>
      <c r="T154" s="27"/>
    </row>
    <row r="155" spans="2:20" ht="12" customHeight="1" x14ac:dyDescent="0.2">
      <c r="B155" s="27"/>
      <c r="C155" s="27"/>
      <c r="D155" s="27"/>
      <c r="E155" s="28"/>
      <c r="F155" s="27"/>
      <c r="G155" s="28"/>
      <c r="H155" s="28"/>
      <c r="I155" s="28"/>
      <c r="J155" s="27"/>
      <c r="K155" s="27"/>
      <c r="L155" s="27"/>
      <c r="M155" s="27"/>
      <c r="N155" s="27"/>
      <c r="O155" s="27"/>
      <c r="P155" s="27"/>
      <c r="Q155" s="28"/>
      <c r="R155" s="28"/>
      <c r="S155" s="28"/>
      <c r="T155" s="27"/>
    </row>
    <row r="156" spans="2:20" ht="12" customHeight="1" x14ac:dyDescent="0.2">
      <c r="B156" s="27"/>
      <c r="C156" s="27"/>
      <c r="D156" s="27"/>
      <c r="E156" s="28"/>
      <c r="F156" s="27"/>
      <c r="G156" s="28"/>
      <c r="H156" s="28"/>
      <c r="I156" s="28"/>
      <c r="J156" s="27"/>
      <c r="K156" s="27"/>
      <c r="L156" s="27"/>
      <c r="M156" s="27"/>
      <c r="N156" s="27"/>
      <c r="O156" s="27"/>
      <c r="P156" s="27"/>
      <c r="Q156" s="28"/>
      <c r="R156" s="28"/>
      <c r="S156" s="28"/>
      <c r="T156" s="27"/>
    </row>
    <row r="157" spans="2:20" ht="12" customHeight="1" x14ac:dyDescent="0.2">
      <c r="B157" s="27"/>
      <c r="C157" s="27"/>
      <c r="D157" s="27"/>
      <c r="E157" s="28"/>
      <c r="F157" s="27"/>
      <c r="G157" s="28"/>
      <c r="H157" s="28"/>
      <c r="I157" s="28"/>
      <c r="J157" s="27"/>
      <c r="K157" s="27"/>
      <c r="L157" s="27"/>
      <c r="M157" s="27"/>
      <c r="N157" s="27"/>
      <c r="O157" s="27"/>
      <c r="P157" s="27"/>
      <c r="Q157" s="28"/>
      <c r="R157" s="28"/>
      <c r="S157" s="28"/>
      <c r="T157" s="27"/>
    </row>
    <row r="158" spans="2:20" ht="12" customHeight="1" x14ac:dyDescent="0.2">
      <c r="B158" s="27"/>
      <c r="C158" s="27"/>
      <c r="D158" s="27"/>
      <c r="E158" s="28"/>
      <c r="F158" s="27"/>
      <c r="G158" s="28"/>
      <c r="H158" s="28"/>
      <c r="I158" s="28"/>
      <c r="J158" s="27"/>
      <c r="K158" s="27"/>
      <c r="L158" s="27"/>
      <c r="M158" s="27"/>
      <c r="N158" s="27"/>
      <c r="O158" s="27"/>
      <c r="P158" s="27"/>
      <c r="Q158" s="28"/>
      <c r="R158" s="28"/>
      <c r="S158" s="28"/>
      <c r="T158" s="27"/>
    </row>
    <row r="159" spans="2:20" ht="12" customHeight="1" x14ac:dyDescent="0.2">
      <c r="B159" s="27"/>
      <c r="C159" s="27"/>
      <c r="D159" s="27"/>
      <c r="E159" s="28"/>
      <c r="F159" s="27"/>
      <c r="G159" s="28"/>
      <c r="H159" s="28"/>
      <c r="I159" s="28"/>
      <c r="J159" s="27"/>
      <c r="K159" s="27"/>
      <c r="L159" s="27"/>
      <c r="M159" s="27"/>
      <c r="N159" s="27"/>
      <c r="O159" s="27"/>
      <c r="P159" s="27"/>
      <c r="Q159" s="28"/>
      <c r="R159" s="28"/>
      <c r="S159" s="28"/>
      <c r="T159" s="27"/>
    </row>
    <row r="160" spans="2:20" ht="12" customHeight="1" x14ac:dyDescent="0.2">
      <c r="B160" s="27"/>
      <c r="C160" s="27"/>
      <c r="D160" s="27"/>
      <c r="E160" s="28"/>
      <c r="F160" s="27"/>
      <c r="G160" s="28"/>
      <c r="H160" s="28"/>
      <c r="I160" s="28"/>
      <c r="J160" s="27"/>
      <c r="K160" s="27"/>
      <c r="L160" s="27"/>
      <c r="M160" s="27"/>
      <c r="N160" s="27"/>
      <c r="O160" s="27"/>
      <c r="P160" s="27"/>
      <c r="Q160" s="28"/>
      <c r="R160" s="28"/>
      <c r="S160" s="28"/>
      <c r="T160" s="27"/>
    </row>
    <row r="161" spans="2:20" ht="12" customHeight="1" x14ac:dyDescent="0.2">
      <c r="B161" s="27"/>
      <c r="C161" s="27"/>
      <c r="D161" s="27"/>
      <c r="E161" s="28"/>
      <c r="F161" s="27"/>
      <c r="G161" s="28"/>
      <c r="H161" s="28"/>
      <c r="I161" s="28"/>
      <c r="J161" s="27"/>
      <c r="K161" s="27"/>
      <c r="L161" s="27"/>
      <c r="M161" s="27"/>
      <c r="N161" s="27"/>
      <c r="O161" s="27"/>
      <c r="P161" s="27"/>
      <c r="Q161" s="28"/>
      <c r="R161" s="28"/>
      <c r="S161" s="28"/>
      <c r="T161" s="27"/>
    </row>
    <row r="162" spans="2:20" ht="12" customHeight="1" x14ac:dyDescent="0.2">
      <c r="B162" s="27"/>
      <c r="C162" s="27"/>
      <c r="D162" s="27"/>
      <c r="E162" s="28"/>
      <c r="F162" s="27"/>
      <c r="G162" s="28"/>
      <c r="H162" s="28"/>
      <c r="I162" s="28"/>
      <c r="J162" s="27"/>
      <c r="K162" s="27"/>
      <c r="L162" s="27"/>
      <c r="M162" s="27"/>
      <c r="N162" s="27"/>
      <c r="O162" s="27"/>
      <c r="P162" s="27"/>
      <c r="Q162" s="28"/>
      <c r="R162" s="28"/>
      <c r="S162" s="28"/>
      <c r="T162" s="27"/>
    </row>
    <row r="163" spans="2:20" ht="12" customHeight="1" x14ac:dyDescent="0.2">
      <c r="B163" s="27"/>
      <c r="C163" s="27"/>
      <c r="D163" s="27"/>
      <c r="E163" s="28"/>
      <c r="F163" s="27"/>
      <c r="G163" s="28"/>
      <c r="H163" s="28"/>
      <c r="I163" s="28"/>
      <c r="J163" s="27"/>
      <c r="K163" s="27"/>
      <c r="L163" s="27"/>
      <c r="M163" s="27"/>
      <c r="N163" s="27"/>
      <c r="O163" s="27"/>
      <c r="P163" s="27"/>
      <c r="Q163" s="28"/>
      <c r="R163" s="28"/>
      <c r="S163" s="28"/>
      <c r="T163" s="27"/>
    </row>
    <row r="164" spans="2:20" ht="12" customHeight="1" x14ac:dyDescent="0.2">
      <c r="B164" s="27"/>
      <c r="C164" s="27"/>
      <c r="D164" s="27"/>
      <c r="E164" s="28"/>
      <c r="F164" s="27"/>
      <c r="G164" s="28"/>
      <c r="H164" s="28"/>
      <c r="I164" s="28"/>
      <c r="J164" s="27"/>
      <c r="K164" s="27"/>
      <c r="L164" s="27"/>
      <c r="M164" s="27"/>
      <c r="N164" s="27"/>
      <c r="O164" s="27"/>
      <c r="P164" s="27"/>
      <c r="Q164" s="28"/>
      <c r="R164" s="28"/>
      <c r="S164" s="28"/>
      <c r="T164" s="27"/>
    </row>
    <row r="165" spans="2:20" ht="12" customHeight="1" x14ac:dyDescent="0.2">
      <c r="B165" s="27"/>
      <c r="C165" s="27"/>
      <c r="D165" s="27"/>
      <c r="E165" s="28"/>
      <c r="F165" s="27"/>
      <c r="G165" s="28"/>
      <c r="H165" s="28"/>
      <c r="I165" s="28"/>
      <c r="J165" s="27"/>
      <c r="K165" s="27"/>
      <c r="L165" s="27"/>
      <c r="M165" s="27"/>
      <c r="N165" s="27"/>
      <c r="O165" s="27"/>
      <c r="P165" s="27"/>
      <c r="Q165" s="28"/>
      <c r="R165" s="28"/>
      <c r="S165" s="28"/>
      <c r="T165" s="27"/>
    </row>
    <row r="166" spans="2:20" ht="12" customHeight="1" x14ac:dyDescent="0.2">
      <c r="B166" s="27"/>
      <c r="C166" s="27"/>
      <c r="D166" s="27"/>
      <c r="E166" s="28"/>
      <c r="F166" s="27"/>
      <c r="G166" s="28"/>
      <c r="H166" s="28"/>
      <c r="I166" s="28"/>
      <c r="J166" s="27"/>
      <c r="K166" s="27"/>
      <c r="L166" s="27"/>
      <c r="M166" s="27"/>
      <c r="N166" s="27"/>
      <c r="O166" s="27"/>
      <c r="P166" s="27"/>
      <c r="Q166" s="28"/>
      <c r="R166" s="28"/>
      <c r="S166" s="28"/>
      <c r="T166" s="27"/>
    </row>
    <row r="167" spans="2:20" ht="12" customHeight="1" x14ac:dyDescent="0.2">
      <c r="B167" s="27"/>
      <c r="C167" s="27"/>
      <c r="D167" s="27"/>
      <c r="E167" s="28"/>
      <c r="F167" s="27"/>
      <c r="G167" s="28"/>
      <c r="H167" s="28"/>
      <c r="I167" s="28"/>
      <c r="J167" s="27"/>
      <c r="K167" s="27"/>
      <c r="L167" s="27"/>
      <c r="M167" s="27"/>
      <c r="N167" s="27"/>
      <c r="O167" s="27"/>
      <c r="P167" s="27"/>
      <c r="Q167" s="28"/>
      <c r="R167" s="28"/>
      <c r="S167" s="28"/>
      <c r="T167" s="27"/>
    </row>
    <row r="168" spans="2:20" ht="12" customHeight="1" x14ac:dyDescent="0.2">
      <c r="B168" s="27"/>
      <c r="C168" s="27"/>
      <c r="D168" s="27"/>
      <c r="E168" s="28"/>
      <c r="F168" s="27"/>
      <c r="G168" s="28"/>
      <c r="H168" s="28"/>
      <c r="I168" s="28"/>
      <c r="J168" s="27"/>
      <c r="K168" s="27"/>
      <c r="L168" s="27"/>
      <c r="M168" s="27"/>
      <c r="N168" s="27"/>
      <c r="O168" s="27"/>
      <c r="P168" s="27"/>
      <c r="Q168" s="28"/>
      <c r="R168" s="28"/>
      <c r="S168" s="28"/>
      <c r="T168" s="27"/>
    </row>
    <row r="169" spans="2:20" ht="12" customHeight="1" x14ac:dyDescent="0.2">
      <c r="B169" s="27"/>
      <c r="C169" s="27"/>
      <c r="D169" s="27"/>
      <c r="E169" s="28"/>
      <c r="F169" s="27"/>
      <c r="G169" s="28"/>
      <c r="H169" s="28"/>
      <c r="I169" s="28"/>
      <c r="J169" s="27"/>
      <c r="K169" s="27"/>
      <c r="L169" s="27"/>
      <c r="M169" s="27"/>
      <c r="N169" s="27"/>
      <c r="O169" s="27"/>
      <c r="P169" s="27"/>
      <c r="Q169" s="28"/>
      <c r="R169" s="28"/>
      <c r="S169" s="28"/>
      <c r="T169" s="27"/>
    </row>
    <row r="170" spans="2:20" ht="12" customHeight="1" x14ac:dyDescent="0.2">
      <c r="B170" s="27"/>
      <c r="C170" s="27"/>
      <c r="D170" s="27"/>
      <c r="E170" s="28"/>
      <c r="F170" s="27"/>
      <c r="G170" s="28"/>
      <c r="H170" s="28"/>
      <c r="I170" s="28"/>
      <c r="J170" s="27"/>
      <c r="K170" s="27"/>
      <c r="L170" s="27"/>
      <c r="M170" s="27"/>
      <c r="N170" s="27"/>
      <c r="O170" s="27"/>
      <c r="P170" s="27"/>
      <c r="Q170" s="28"/>
      <c r="R170" s="28"/>
      <c r="S170" s="28"/>
      <c r="T170" s="27"/>
    </row>
    <row r="171" spans="2:20" ht="12" customHeight="1" x14ac:dyDescent="0.2">
      <c r="B171" s="27"/>
      <c r="C171" s="27"/>
      <c r="D171" s="27"/>
      <c r="E171" s="28"/>
      <c r="F171" s="27"/>
      <c r="G171" s="28"/>
      <c r="H171" s="28"/>
      <c r="I171" s="28"/>
      <c r="J171" s="27"/>
      <c r="K171" s="27"/>
      <c r="L171" s="27"/>
      <c r="M171" s="27"/>
      <c r="N171" s="27"/>
      <c r="O171" s="27"/>
      <c r="P171" s="27"/>
      <c r="Q171" s="28"/>
      <c r="R171" s="28"/>
      <c r="S171" s="28"/>
      <c r="T171" s="27"/>
    </row>
    <row r="172" spans="2:20" ht="12" customHeight="1" x14ac:dyDescent="0.2">
      <c r="B172" s="27"/>
      <c r="C172" s="27"/>
      <c r="D172" s="27"/>
      <c r="E172" s="28"/>
      <c r="F172" s="27"/>
      <c r="G172" s="28"/>
      <c r="H172" s="28"/>
      <c r="I172" s="28"/>
      <c r="J172" s="27"/>
      <c r="K172" s="27"/>
      <c r="L172" s="27"/>
      <c r="M172" s="27"/>
      <c r="N172" s="27"/>
      <c r="O172" s="27"/>
      <c r="P172" s="27"/>
      <c r="Q172" s="28"/>
      <c r="R172" s="28"/>
      <c r="S172" s="28"/>
      <c r="T172" s="27"/>
    </row>
    <row r="173" spans="2:20" ht="12" customHeight="1" x14ac:dyDescent="0.2">
      <c r="B173" s="27"/>
      <c r="C173" s="27"/>
      <c r="D173" s="27"/>
      <c r="E173" s="28"/>
      <c r="F173" s="27"/>
      <c r="G173" s="28"/>
      <c r="H173" s="28"/>
      <c r="I173" s="28"/>
      <c r="J173" s="27"/>
      <c r="K173" s="27"/>
      <c r="L173" s="27"/>
      <c r="M173" s="27"/>
      <c r="N173" s="27"/>
      <c r="O173" s="27"/>
      <c r="P173" s="27"/>
      <c r="Q173" s="28"/>
      <c r="R173" s="28"/>
      <c r="S173" s="28"/>
      <c r="T173" s="27"/>
    </row>
    <row r="174" spans="2:20" ht="12" customHeight="1" x14ac:dyDescent="0.2">
      <c r="B174" s="27"/>
      <c r="C174" s="27"/>
      <c r="D174" s="27"/>
      <c r="E174" s="28"/>
      <c r="F174" s="27"/>
      <c r="G174" s="28"/>
      <c r="H174" s="28"/>
      <c r="I174" s="28"/>
      <c r="J174" s="27"/>
      <c r="K174" s="27"/>
      <c r="L174" s="27"/>
      <c r="M174" s="27"/>
      <c r="N174" s="27"/>
      <c r="O174" s="27"/>
      <c r="P174" s="27"/>
      <c r="Q174" s="28"/>
      <c r="R174" s="28"/>
      <c r="S174" s="28"/>
      <c r="T174" s="27"/>
    </row>
    <row r="175" spans="2:20" ht="12" customHeight="1" x14ac:dyDescent="0.2">
      <c r="B175" s="27"/>
      <c r="C175" s="27"/>
      <c r="D175" s="27"/>
      <c r="E175" s="28"/>
      <c r="F175" s="27"/>
      <c r="G175" s="28"/>
      <c r="H175" s="28"/>
      <c r="I175" s="28"/>
      <c r="J175" s="27"/>
      <c r="K175" s="27"/>
      <c r="L175" s="27"/>
      <c r="M175" s="27"/>
      <c r="N175" s="27"/>
      <c r="O175" s="27"/>
      <c r="P175" s="27"/>
      <c r="Q175" s="28"/>
      <c r="R175" s="28"/>
      <c r="S175" s="28"/>
      <c r="T175" s="27"/>
    </row>
    <row r="176" spans="2:20" ht="12" customHeight="1" x14ac:dyDescent="0.2">
      <c r="B176" s="27"/>
      <c r="C176" s="27"/>
      <c r="D176" s="27"/>
      <c r="E176" s="28"/>
      <c r="F176" s="27"/>
      <c r="G176" s="28"/>
      <c r="H176" s="28"/>
      <c r="I176" s="28"/>
      <c r="J176" s="27"/>
      <c r="K176" s="27"/>
      <c r="L176" s="27"/>
      <c r="M176" s="27"/>
      <c r="N176" s="27"/>
      <c r="O176" s="27"/>
      <c r="P176" s="27"/>
      <c r="Q176" s="28"/>
      <c r="R176" s="28"/>
      <c r="S176" s="28"/>
      <c r="T176" s="27"/>
    </row>
    <row r="177" spans="2:20" ht="12" customHeight="1" x14ac:dyDescent="0.2">
      <c r="B177" s="27"/>
      <c r="C177" s="27"/>
      <c r="D177" s="27"/>
      <c r="E177" s="28"/>
      <c r="F177" s="27"/>
      <c r="G177" s="28"/>
      <c r="H177" s="28"/>
      <c r="I177" s="28"/>
      <c r="J177" s="27"/>
      <c r="K177" s="27"/>
      <c r="L177" s="27"/>
      <c r="M177" s="27"/>
      <c r="N177" s="27"/>
      <c r="O177" s="27"/>
      <c r="P177" s="27"/>
      <c r="Q177" s="28"/>
      <c r="R177" s="28"/>
      <c r="S177" s="28"/>
      <c r="T177" s="27"/>
    </row>
    <row r="178" spans="2:20" ht="12" customHeight="1" x14ac:dyDescent="0.2">
      <c r="B178" s="27"/>
      <c r="C178" s="27"/>
      <c r="D178" s="27"/>
      <c r="E178" s="28"/>
      <c r="F178" s="27"/>
      <c r="G178" s="28"/>
      <c r="H178" s="28"/>
      <c r="I178" s="28"/>
      <c r="J178" s="27"/>
      <c r="K178" s="27"/>
      <c r="L178" s="27"/>
      <c r="M178" s="27"/>
      <c r="N178" s="27"/>
      <c r="O178" s="27"/>
      <c r="P178" s="27"/>
      <c r="Q178" s="28"/>
      <c r="R178" s="28"/>
      <c r="S178" s="28"/>
      <c r="T178" s="27"/>
    </row>
    <row r="179" spans="2:20" ht="12" customHeight="1" x14ac:dyDescent="0.2">
      <c r="B179" s="27"/>
      <c r="C179" s="27"/>
      <c r="D179" s="27"/>
      <c r="E179" s="28"/>
      <c r="F179" s="27"/>
      <c r="G179" s="28"/>
      <c r="H179" s="28"/>
      <c r="I179" s="28"/>
      <c r="J179" s="27"/>
      <c r="K179" s="27"/>
      <c r="L179" s="27"/>
      <c r="M179" s="27"/>
      <c r="N179" s="27"/>
      <c r="O179" s="27"/>
      <c r="P179" s="27"/>
      <c r="Q179" s="28"/>
      <c r="R179" s="28"/>
      <c r="S179" s="28"/>
      <c r="T179" s="27"/>
    </row>
    <row r="180" spans="2:20" ht="12" customHeight="1" x14ac:dyDescent="0.2">
      <c r="B180" s="27"/>
      <c r="C180" s="27"/>
      <c r="D180" s="27"/>
      <c r="E180" s="28"/>
      <c r="F180" s="27"/>
      <c r="G180" s="28"/>
      <c r="H180" s="28"/>
      <c r="I180" s="28"/>
      <c r="J180" s="27"/>
      <c r="K180" s="27"/>
      <c r="L180" s="27"/>
      <c r="M180" s="27"/>
      <c r="N180" s="27"/>
      <c r="O180" s="27"/>
      <c r="P180" s="27"/>
      <c r="Q180" s="28"/>
      <c r="R180" s="28"/>
      <c r="S180" s="28"/>
      <c r="T180" s="27"/>
    </row>
    <row r="181" spans="2:20" ht="12" customHeight="1" x14ac:dyDescent="0.2">
      <c r="B181" s="27"/>
      <c r="C181" s="27"/>
      <c r="D181" s="27"/>
      <c r="E181" s="28"/>
      <c r="F181" s="27"/>
      <c r="G181" s="28"/>
      <c r="H181" s="28"/>
      <c r="I181" s="28"/>
      <c r="J181" s="27"/>
      <c r="K181" s="27"/>
      <c r="L181" s="27"/>
      <c r="M181" s="27"/>
      <c r="N181" s="27"/>
      <c r="O181" s="27"/>
      <c r="P181" s="27"/>
      <c r="Q181" s="28"/>
      <c r="R181" s="28"/>
      <c r="S181" s="28"/>
      <c r="T181" s="27"/>
    </row>
    <row r="182" spans="2:20" ht="12" customHeight="1" x14ac:dyDescent="0.2">
      <c r="B182" s="27"/>
      <c r="C182" s="27"/>
      <c r="D182" s="27"/>
      <c r="E182" s="28"/>
      <c r="F182" s="27"/>
      <c r="G182" s="28"/>
      <c r="H182" s="28"/>
      <c r="I182" s="28"/>
      <c r="J182" s="27"/>
      <c r="K182" s="27"/>
      <c r="L182" s="27"/>
      <c r="M182" s="27"/>
      <c r="N182" s="27"/>
      <c r="O182" s="27"/>
      <c r="P182" s="27"/>
      <c r="Q182" s="28"/>
      <c r="R182" s="28"/>
      <c r="S182" s="28"/>
      <c r="T182" s="27"/>
    </row>
    <row r="183" spans="2:20" ht="12" customHeight="1" x14ac:dyDescent="0.2">
      <c r="B183" s="27"/>
      <c r="C183" s="27"/>
      <c r="D183" s="27"/>
      <c r="E183" s="28"/>
      <c r="F183" s="27"/>
      <c r="G183" s="28"/>
      <c r="H183" s="28"/>
      <c r="I183" s="28"/>
      <c r="J183" s="27"/>
      <c r="K183" s="27"/>
      <c r="L183" s="27"/>
      <c r="M183" s="27"/>
      <c r="N183" s="27"/>
      <c r="O183" s="27"/>
      <c r="P183" s="27"/>
      <c r="Q183" s="28"/>
      <c r="R183" s="28"/>
      <c r="S183" s="28"/>
      <c r="T183" s="27"/>
    </row>
    <row r="184" spans="2:20" ht="12" customHeight="1" x14ac:dyDescent="0.2">
      <c r="B184" s="27"/>
      <c r="C184" s="27"/>
      <c r="D184" s="27"/>
      <c r="E184" s="28"/>
      <c r="F184" s="27"/>
      <c r="G184" s="28"/>
      <c r="H184" s="28"/>
      <c r="I184" s="28"/>
      <c r="J184" s="27"/>
      <c r="K184" s="27"/>
      <c r="L184" s="27"/>
      <c r="M184" s="27"/>
      <c r="N184" s="27"/>
      <c r="O184" s="27"/>
      <c r="P184" s="27"/>
      <c r="Q184" s="28"/>
      <c r="R184" s="28"/>
      <c r="S184" s="28"/>
      <c r="T184" s="27"/>
    </row>
    <row r="185" spans="2:20" ht="12" customHeight="1" x14ac:dyDescent="0.2">
      <c r="B185" s="27"/>
      <c r="C185" s="27"/>
      <c r="D185" s="27"/>
      <c r="E185" s="28"/>
      <c r="F185" s="27"/>
      <c r="G185" s="28"/>
      <c r="H185" s="28"/>
      <c r="I185" s="28"/>
      <c r="J185" s="27"/>
      <c r="K185" s="27"/>
      <c r="L185" s="27"/>
      <c r="M185" s="27"/>
      <c r="N185" s="27"/>
      <c r="O185" s="27"/>
      <c r="P185" s="27"/>
      <c r="Q185" s="28"/>
      <c r="R185" s="28"/>
      <c r="S185" s="28"/>
      <c r="T185" s="27"/>
    </row>
    <row r="186" spans="2:20" ht="12" customHeight="1" x14ac:dyDescent="0.2">
      <c r="B186" s="27"/>
      <c r="C186" s="27"/>
      <c r="D186" s="27"/>
      <c r="E186" s="28"/>
      <c r="F186" s="27"/>
      <c r="G186" s="28"/>
      <c r="H186" s="28"/>
      <c r="I186" s="28"/>
      <c r="J186" s="27"/>
      <c r="K186" s="27"/>
      <c r="L186" s="27"/>
      <c r="M186" s="27"/>
      <c r="N186" s="27"/>
      <c r="O186" s="27"/>
      <c r="P186" s="27"/>
      <c r="Q186" s="28"/>
      <c r="R186" s="28"/>
      <c r="S186" s="28"/>
      <c r="T186" s="27"/>
    </row>
    <row r="187" spans="2:20" ht="12" customHeight="1" x14ac:dyDescent="0.2">
      <c r="B187" s="27"/>
      <c r="C187" s="27"/>
      <c r="D187" s="27"/>
      <c r="E187" s="28"/>
      <c r="F187" s="27"/>
      <c r="G187" s="28"/>
      <c r="H187" s="28"/>
      <c r="I187" s="28"/>
      <c r="J187" s="27"/>
      <c r="K187" s="27"/>
      <c r="L187" s="27"/>
      <c r="M187" s="27"/>
      <c r="N187" s="27"/>
      <c r="O187" s="27"/>
      <c r="P187" s="27"/>
      <c r="Q187" s="28"/>
      <c r="R187" s="28"/>
      <c r="S187" s="28"/>
      <c r="T187" s="27"/>
    </row>
    <row r="188" spans="2:20" ht="12" customHeight="1" x14ac:dyDescent="0.2">
      <c r="B188" s="27"/>
      <c r="C188" s="27"/>
      <c r="D188" s="27"/>
      <c r="E188" s="28"/>
      <c r="F188" s="27"/>
      <c r="G188" s="28"/>
      <c r="H188" s="28"/>
      <c r="I188" s="28"/>
      <c r="J188" s="27"/>
      <c r="K188" s="27"/>
      <c r="L188" s="27"/>
      <c r="M188" s="27"/>
      <c r="N188" s="27"/>
      <c r="O188" s="27"/>
      <c r="P188" s="27"/>
      <c r="Q188" s="28"/>
      <c r="R188" s="28"/>
      <c r="S188" s="28"/>
      <c r="T188" s="27"/>
    </row>
    <row r="189" spans="2:20" ht="12" customHeight="1" x14ac:dyDescent="0.2">
      <c r="B189" s="27"/>
      <c r="C189" s="27"/>
      <c r="D189" s="27"/>
      <c r="E189" s="28"/>
      <c r="F189" s="27"/>
      <c r="G189" s="28"/>
      <c r="H189" s="28"/>
      <c r="I189" s="28"/>
      <c r="J189" s="27"/>
      <c r="K189" s="27"/>
      <c r="L189" s="27"/>
      <c r="M189" s="27"/>
      <c r="N189" s="27"/>
      <c r="O189" s="27"/>
      <c r="P189" s="27"/>
      <c r="Q189" s="28"/>
      <c r="R189" s="28"/>
      <c r="S189" s="28"/>
      <c r="T189" s="27"/>
    </row>
    <row r="190" spans="2:20" ht="12" customHeight="1" x14ac:dyDescent="0.2">
      <c r="B190" s="27"/>
      <c r="C190" s="27"/>
      <c r="D190" s="27"/>
      <c r="E190" s="28"/>
      <c r="F190" s="27"/>
      <c r="G190" s="28"/>
      <c r="H190" s="28"/>
      <c r="I190" s="28"/>
      <c r="J190" s="27"/>
      <c r="K190" s="27"/>
      <c r="L190" s="27"/>
      <c r="M190" s="27"/>
      <c r="N190" s="27"/>
      <c r="O190" s="27"/>
      <c r="P190" s="27"/>
      <c r="Q190" s="28"/>
      <c r="R190" s="28"/>
      <c r="S190" s="28"/>
      <c r="T190" s="27"/>
    </row>
    <row r="191" spans="2:20" ht="12" customHeight="1" x14ac:dyDescent="0.2">
      <c r="B191" s="27"/>
      <c r="C191" s="27"/>
      <c r="D191" s="27"/>
      <c r="E191" s="28"/>
      <c r="F191" s="27"/>
      <c r="G191" s="28"/>
      <c r="H191" s="28"/>
      <c r="I191" s="28"/>
      <c r="J191" s="27"/>
      <c r="K191" s="27"/>
      <c r="L191" s="27"/>
      <c r="M191" s="27"/>
      <c r="N191" s="27"/>
      <c r="O191" s="27"/>
      <c r="P191" s="27"/>
      <c r="Q191" s="28"/>
      <c r="R191" s="28"/>
      <c r="S191" s="28"/>
      <c r="T191" s="27"/>
    </row>
    <row r="192" spans="2:20" ht="12" customHeight="1" x14ac:dyDescent="0.2">
      <c r="B192" s="27"/>
      <c r="C192" s="27"/>
      <c r="D192" s="27"/>
      <c r="E192" s="28"/>
      <c r="F192" s="27"/>
      <c r="G192" s="28"/>
      <c r="H192" s="28"/>
      <c r="I192" s="28"/>
      <c r="J192" s="27"/>
      <c r="K192" s="27"/>
      <c r="L192" s="27"/>
      <c r="M192" s="27"/>
      <c r="N192" s="27"/>
      <c r="O192" s="27"/>
      <c r="P192" s="27"/>
      <c r="Q192" s="28"/>
      <c r="R192" s="28"/>
      <c r="S192" s="28"/>
      <c r="T192" s="27"/>
    </row>
    <row r="193" spans="2:20" ht="12" customHeight="1" x14ac:dyDescent="0.2">
      <c r="B193" s="27"/>
      <c r="C193" s="27"/>
      <c r="D193" s="27"/>
      <c r="E193" s="28"/>
      <c r="F193" s="27"/>
      <c r="G193" s="28"/>
      <c r="H193" s="28"/>
      <c r="I193" s="28"/>
      <c r="J193" s="27"/>
      <c r="K193" s="27"/>
      <c r="L193" s="27"/>
      <c r="M193" s="27"/>
      <c r="N193" s="27"/>
      <c r="O193" s="27"/>
      <c r="P193" s="27"/>
      <c r="Q193" s="28"/>
      <c r="R193" s="28"/>
      <c r="S193" s="28"/>
      <c r="T193" s="27"/>
    </row>
    <row r="194" spans="2:20" ht="12" customHeight="1" x14ac:dyDescent="0.2">
      <c r="B194" s="27"/>
      <c r="C194" s="27"/>
      <c r="D194" s="27"/>
      <c r="E194" s="28"/>
      <c r="F194" s="27"/>
      <c r="G194" s="28"/>
      <c r="H194" s="28"/>
      <c r="I194" s="28"/>
      <c r="J194" s="27"/>
      <c r="K194" s="27"/>
      <c r="L194" s="27"/>
      <c r="M194" s="27"/>
      <c r="N194" s="27"/>
      <c r="O194" s="27"/>
      <c r="P194" s="27"/>
      <c r="Q194" s="28"/>
      <c r="R194" s="28"/>
      <c r="S194" s="28"/>
      <c r="T194" s="27"/>
    </row>
  </sheetData>
  <sheetProtection algorithmName="SHA-512" hashValue="2Gy8nh9xThdnmqDcKru4ATmpyPzwGi+4o/rez0kQfMtgTwmUr6gYYnQsMOEB9rURwPLMafczy8ibTbkpMjD8ZA==" saltValue="b8QNhRyVTDZjUVOgux8WBw==" spinCount="100000" sheet="1" objects="1" scenarios="1"/>
  <mergeCells count="1">
    <mergeCell ref="L7:R9"/>
  </mergeCells>
  <phoneticPr fontId="0" type="noConversion"/>
  <dataValidations count="5">
    <dataValidation type="list" allowBlank="1" showInputMessage="1" showErrorMessage="1" sqref="F42 H42" xr:uid="{00000000-0002-0000-0100-000000000000}">
      <formula1>"1,2,3"</formula1>
    </dataValidation>
    <dataValidation type="list" allowBlank="1" showInputMessage="1" showErrorMessage="1" sqref="E42" xr:uid="{00000000-0002-0000-0100-000001000000}">
      <formula1>"1,2,3,4,5,6,7,8"</formula1>
    </dataValidation>
    <dataValidation type="list" allowBlank="1" showInputMessage="1" showErrorMessage="1" sqref="E25" xr:uid="{00000000-0002-0000-0100-000002000000}">
      <formula1>"ja,nee"</formula1>
    </dataValidation>
    <dataValidation type="list" allowBlank="1" showInputMessage="1" showErrorMessage="1" sqref="W65" xr:uid="{00000000-0002-0000-0100-000003000000}">
      <formula1>$W$65:$W$116</formula1>
    </dataValidation>
    <dataValidation type="list" allowBlank="1" showInputMessage="1" showErrorMessage="1" sqref="V65:V100" xr:uid="{00000000-0002-0000-0100-000004000000}">
      <formula1>$V$64:$V$100</formula1>
    </dataValidation>
  </dataValidations>
  <printOptions gridLines="1"/>
  <pageMargins left="0.74803149606299213" right="0.74803149606299213" top="0.98425196850393704" bottom="0.98425196850393704" header="0.51181102362204722" footer="0.51181102362204722"/>
  <pageSetup paperSize="9" scale="55" orientation="portrait" horizontalDpi="4294967293" verticalDpi="4294967293" r:id="rId1"/>
  <headerFooter alignWithMargins="0">
    <oddHeader>&amp;L&amp;"Arial,Vet"&amp;A&amp;R&amp;"Arial,Vet"&amp;F</oddHeader>
    <oddFooter>&amp;L&amp;"Arial,Vet"PO-Raad&amp;R&amp;"Arial,Vet"&amp;P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C901A7C-A108-4F55-93AB-10AAFE80E0A5}">
          <x14:formula1>
            <xm:f>tabellen!$A$74:$A$104</xm:f>
          </x14:formula1>
          <xm:sqref>G16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FF449-B6D2-46D2-A5F8-385AAE990B45}">
  <sheetPr>
    <pageSetUpPr fitToPage="1"/>
  </sheetPr>
  <dimension ref="B2:AJ65"/>
  <sheetViews>
    <sheetView topLeftCell="C1" zoomScale="90" zoomScaleNormal="90" workbookViewId="0">
      <selection activeCell="E8" sqref="E8"/>
    </sheetView>
  </sheetViews>
  <sheetFormatPr defaultColWidth="9.140625" defaultRowHeight="11.45" customHeight="1" x14ac:dyDescent="0.2"/>
  <cols>
    <col min="1" max="1" width="3.7109375" style="124" customWidth="1"/>
    <col min="2" max="2" width="9.85546875" style="124" customWidth="1"/>
    <col min="3" max="5" width="9.7109375" style="124" customWidth="1"/>
    <col min="6" max="6" width="9.7109375" style="124" hidden="1" customWidth="1"/>
    <col min="7" max="9" width="9.7109375" style="124" customWidth="1"/>
    <col min="10" max="10" width="9.7109375" style="136" customWidth="1"/>
    <col min="11" max="16" width="9.7109375" style="124" customWidth="1"/>
    <col min="17" max="17" width="9.7109375" style="124" hidden="1" customWidth="1"/>
    <col min="18" max="18" width="9.7109375" style="136" customWidth="1"/>
    <col min="19" max="26" width="9.7109375" style="124" customWidth="1"/>
    <col min="27" max="27" width="9.7109375" style="136" customWidth="1"/>
    <col min="28" max="31" width="9.7109375" style="124" customWidth="1"/>
    <col min="32" max="32" width="9.7109375" style="136" customWidth="1"/>
    <col min="33" max="33" width="9.7109375" style="124" customWidth="1"/>
    <col min="34" max="34" width="3.7109375" style="124" customWidth="1"/>
    <col min="35" max="36" width="9.7109375" style="124" customWidth="1"/>
    <col min="37" max="16384" width="9.140625" style="124"/>
  </cols>
  <sheetData>
    <row r="2" spans="2:36" ht="16.149999999999999" customHeight="1" x14ac:dyDescent="0.2">
      <c r="B2" s="285" t="str">
        <f>"WERKGEVERSLASTEN PO "&amp;tabellen!B3</f>
        <v>WERKGEVERSLASTEN PO 2024</v>
      </c>
    </row>
    <row r="3" spans="2:36" ht="13.5" customHeight="1" x14ac:dyDescent="0.25">
      <c r="B3" s="286" t="str">
        <f>+tabellen!C3&amp;" "&amp; tabellen!B3</f>
        <v>vanaf 1-1 2024</v>
      </c>
      <c r="G3" s="124" t="s">
        <v>98</v>
      </c>
      <c r="H3" s="288">
        <v>2</v>
      </c>
      <c r="I3" s="309" t="str">
        <f>VLOOKUP(H3,tabellen!A15:C21,2)</f>
        <v>Volledig aangesloten</v>
      </c>
      <c r="J3" s="309"/>
      <c r="K3" s="138" t="s">
        <v>99</v>
      </c>
      <c r="L3" s="138"/>
      <c r="M3" s="138"/>
      <c r="N3" s="138"/>
      <c r="O3" s="284"/>
      <c r="P3" s="287"/>
      <c r="R3" s="304">
        <f>AG65</f>
        <v>0.60219412583686527</v>
      </c>
    </row>
    <row r="4" spans="2:36" ht="10.9" customHeight="1" x14ac:dyDescent="0.2">
      <c r="K4" s="133">
        <f>tabellen!D33</f>
        <v>0.08</v>
      </c>
      <c r="L4" s="133">
        <f>tabellen!D36</f>
        <v>8.3299999999999999E-2</v>
      </c>
      <c r="S4" s="133">
        <f>tabellen!C8</f>
        <v>0.18099999999999999</v>
      </c>
      <c r="T4" s="133">
        <f>tabellen!C9</f>
        <v>5.5999999999999999E-3</v>
      </c>
      <c r="U4" s="133">
        <f>tabellen!C10</f>
        <v>0</v>
      </c>
      <c r="V4" s="133">
        <f>tabellen!C11+tabellen!C12</f>
        <v>8.4599999999999995E-2</v>
      </c>
      <c r="W4" s="133">
        <f>tabellen!C13</f>
        <v>6.5699999999999995E-2</v>
      </c>
      <c r="X4" s="133">
        <f>tabellen!C14</f>
        <v>6.7999999999999996E-3</v>
      </c>
      <c r="Y4" s="134">
        <f>VLOOKUP(H3,tabellen!A15:C21,3)</f>
        <v>4.7500000000000001E-2</v>
      </c>
      <c r="Z4" s="135">
        <f>tabellen!C22</f>
        <v>1.7500000000000002E-2</v>
      </c>
      <c r="AB4" s="153">
        <v>0</v>
      </c>
      <c r="AI4" s="133">
        <f>tabellen!D8</f>
        <v>8.1000000000000003E-2</v>
      </c>
      <c r="AJ4" s="139"/>
    </row>
    <row r="5" spans="2:36" ht="10.9" customHeight="1" x14ac:dyDescent="0.2">
      <c r="K5" s="133"/>
      <c r="L5" s="133"/>
      <c r="S5" s="133"/>
      <c r="T5" s="133"/>
      <c r="U5" s="133"/>
      <c r="V5" s="133"/>
      <c r="W5" s="133"/>
      <c r="X5" s="133"/>
      <c r="Y5" s="134"/>
      <c r="Z5" s="135"/>
      <c r="AB5" s="153"/>
      <c r="AI5" s="133"/>
      <c r="AJ5" s="139"/>
    </row>
    <row r="6" spans="2:36" ht="10.9" customHeight="1" x14ac:dyDescent="0.2">
      <c r="F6" s="127"/>
      <c r="G6" s="132" t="s">
        <v>100</v>
      </c>
      <c r="H6" s="127" t="s">
        <v>101</v>
      </c>
      <c r="I6" s="127" t="s">
        <v>102</v>
      </c>
      <c r="J6" s="127" t="s">
        <v>103</v>
      </c>
      <c r="K6" s="309" t="s">
        <v>104</v>
      </c>
      <c r="L6" s="309"/>
      <c r="M6" s="309"/>
      <c r="N6" s="309"/>
      <c r="O6" s="309"/>
      <c r="P6" s="309"/>
      <c r="Q6" s="309"/>
      <c r="R6" s="137"/>
      <c r="S6" s="309" t="s">
        <v>105</v>
      </c>
      <c r="T6" s="309"/>
      <c r="U6" s="309"/>
      <c r="V6" s="309"/>
      <c r="W6" s="309"/>
      <c r="X6" s="309"/>
      <c r="Y6" s="309"/>
      <c r="Z6" s="309"/>
      <c r="AA6" s="137"/>
      <c r="AB6" s="309" t="s">
        <v>106</v>
      </c>
      <c r="AC6" s="309"/>
      <c r="AD6" s="309"/>
      <c r="AE6" s="127"/>
      <c r="AI6" s="139"/>
      <c r="AJ6" s="139"/>
    </row>
    <row r="7" spans="2:36" ht="10.9" customHeight="1" x14ac:dyDescent="0.2">
      <c r="B7" s="131" t="s">
        <v>107</v>
      </c>
      <c r="C7" s="131" t="s">
        <v>108</v>
      </c>
      <c r="D7" s="131" t="s">
        <v>58</v>
      </c>
      <c r="E7" s="131" t="s">
        <v>59</v>
      </c>
      <c r="F7" s="132"/>
      <c r="G7" s="132" t="s">
        <v>109</v>
      </c>
      <c r="H7" s="132"/>
      <c r="I7" s="132"/>
      <c r="J7" s="132" t="s">
        <v>110</v>
      </c>
      <c r="K7" s="132" t="s">
        <v>111</v>
      </c>
      <c r="L7" s="132" t="s">
        <v>112</v>
      </c>
      <c r="M7" s="132" t="s">
        <v>113</v>
      </c>
      <c r="N7" s="132" t="s">
        <v>114</v>
      </c>
      <c r="O7" s="132" t="s">
        <v>115</v>
      </c>
      <c r="P7" s="132" t="s">
        <v>116</v>
      </c>
      <c r="Q7" s="132" t="s">
        <v>116</v>
      </c>
      <c r="R7" s="132" t="s">
        <v>117</v>
      </c>
      <c r="S7" s="132" t="s">
        <v>78</v>
      </c>
      <c r="T7" s="132" t="s">
        <v>79</v>
      </c>
      <c r="U7" s="132" t="s">
        <v>118</v>
      </c>
      <c r="V7" s="132" t="s">
        <v>119</v>
      </c>
      <c r="W7" s="132" t="s">
        <v>120</v>
      </c>
      <c r="X7" s="132" t="s">
        <v>83</v>
      </c>
      <c r="Y7" s="132" t="s">
        <v>121</v>
      </c>
      <c r="Z7" s="132" t="s">
        <v>122</v>
      </c>
      <c r="AA7" s="132" t="s">
        <v>123</v>
      </c>
      <c r="AB7" s="132" t="s">
        <v>124</v>
      </c>
      <c r="AC7" s="132" t="s">
        <v>125</v>
      </c>
      <c r="AD7" s="132" t="s">
        <v>125</v>
      </c>
      <c r="AE7" s="132" t="s">
        <v>126</v>
      </c>
      <c r="AF7" s="132" t="s">
        <v>127</v>
      </c>
      <c r="AG7" s="132" t="s">
        <v>128</v>
      </c>
      <c r="AI7" s="140" t="s">
        <v>129</v>
      </c>
      <c r="AJ7" s="141"/>
    </row>
    <row r="8" spans="2:36" ht="10.9" customHeight="1" x14ac:dyDescent="0.2">
      <c r="B8" s="298" t="s">
        <v>130</v>
      </c>
      <c r="C8" s="299">
        <v>29221</v>
      </c>
      <c r="D8" s="300" t="s">
        <v>172</v>
      </c>
      <c r="E8" s="300">
        <v>12</v>
      </c>
      <c r="F8" s="301" t="str">
        <f>D8&amp;E8</f>
        <v>LB12</v>
      </c>
      <c r="G8" s="300" t="s">
        <v>71</v>
      </c>
      <c r="H8" s="302">
        <v>1</v>
      </c>
      <c r="I8" s="143" t="str">
        <f t="shared" ref="I8:I39" si="0">IF(H8="","",VLOOKUP(D8,salaristabel2023,23,FALSE))</f>
        <v>OP</v>
      </c>
      <c r="J8" s="290">
        <f t="shared" ref="J8:J39" si="1">IF(H8="","",VLOOKUP(D8,salaristabel2023,E8+5,FALSE)*H8)</f>
        <v>5030</v>
      </c>
      <c r="K8" s="291">
        <f>IF(J8="","",J8*$K$4)</f>
        <v>402.40000000000003</v>
      </c>
      <c r="L8" s="291">
        <f>IF(J8="","",J8*$L$4)</f>
        <v>418.99899999999997</v>
      </c>
      <c r="M8" s="291">
        <f t="shared" ref="M8:M39" si="2">IF(G8="ja",VLOOKUP(D8,uitlooptoeslag,2),0)*H8</f>
        <v>0</v>
      </c>
      <c r="N8" s="291">
        <f t="shared" ref="N8:N39" si="3">IF(I8="DIR",VLOOKUP(D8,arbeidsmarkttoelage,2),0)*H8</f>
        <v>0</v>
      </c>
      <c r="O8" s="291">
        <f>IF(I8="OOP",IF(D8&lt;9,tabellen!$D$37,tabellen!$D$38),0)*H8</f>
        <v>0</v>
      </c>
      <c r="P8" s="291">
        <f>IF(_xlfn.IFNA(Q8,0),Q8*H8,0)</f>
        <v>132.59</v>
      </c>
      <c r="Q8" s="292">
        <f>VLOOKUP(F8,tabellen!$C$51:$D$64,2,FALSE)</f>
        <v>132.59</v>
      </c>
      <c r="R8" s="293">
        <f t="shared" ref="R8:R39" si="4">SUM(J8:P8)</f>
        <v>5983.9889999999996</v>
      </c>
      <c r="S8" s="291">
        <f>IF(R8-(tabellen!$F$8*'wg lasten totaal'!H8)&lt;0,0,(R8-(tabellen!$F$8*'wg lasten totaal'!H8))*S$4)</f>
        <v>818.38950899999986</v>
      </c>
      <c r="T8" s="291">
        <f>IF(R8-(tabellen!$F$9*'wg lasten totaal'!H8)&lt;0,0,(R8-(tabellen!$F$9*'wg lasten totaal'!H8))*T$4)</f>
        <v>21.003671733333331</v>
      </c>
      <c r="U8" s="291">
        <f t="shared" ref="U8:U39" si="5">R8*U$4</f>
        <v>0</v>
      </c>
      <c r="V8" s="291">
        <f>IF($AJ8&gt;tabellen!H$11,tabellen!H$11*V$4,$AJ8*V$4)</f>
        <v>475.26151387859989</v>
      </c>
      <c r="W8" s="291">
        <f>IF($AJ8&gt;tabellen!H$13,tabellen!H$13*W$4,$AJ8*W$4)</f>
        <v>369.08606928869989</v>
      </c>
      <c r="X8" s="291">
        <f>IF($AJ8&gt;tabellen!H$14,tabellen!H$14*X$4,$AJ8*X$4)</f>
        <v>38.200689058799995</v>
      </c>
      <c r="Y8" s="291">
        <f>IF(J8="","",(J8+K8)*Y$4)</f>
        <v>258.03899999999999</v>
      </c>
      <c r="Z8" s="291">
        <f>IF(J8="","",(J8+K8)*Z$4)</f>
        <v>95.067000000000007</v>
      </c>
      <c r="AA8" s="293">
        <f t="shared" ref="AA8:AA39" si="6">SUM(S8:Z8)</f>
        <v>2075.047452959433</v>
      </c>
      <c r="AB8" s="292">
        <f>IF(J8="","",(J8+K8)*AB$4)</f>
        <v>0</v>
      </c>
      <c r="AC8" s="294"/>
      <c r="AD8" s="294"/>
      <c r="AE8" s="292">
        <f>SUM(AB8:AD8)</f>
        <v>0</v>
      </c>
      <c r="AF8" s="293">
        <f>IF(H8="","",AE8+AA8+R8)</f>
        <v>8059.0364529594326</v>
      </c>
      <c r="AG8" s="289">
        <f>IF(AF8="","",AF8/J8-1)</f>
        <v>0.60219412583686527</v>
      </c>
      <c r="AI8" s="142">
        <f>IF(R8-(tabellen!$F$8*'wg lasten totaal'!H$8)&lt;0,0,(R8-(tabellen!$F$8*'wg lasten totaal'!H$8))*AI$4)</f>
        <v>366.24060899999995</v>
      </c>
      <c r="AJ8" s="142">
        <f t="shared" ref="AJ8:AJ39" si="7">R8-AI8</f>
        <v>5617.7483909999992</v>
      </c>
    </row>
    <row r="9" spans="2:36" ht="10.9" customHeight="1" x14ac:dyDescent="0.2">
      <c r="B9" s="298"/>
      <c r="C9" s="299"/>
      <c r="D9" s="300"/>
      <c r="E9" s="300"/>
      <c r="F9" s="301" t="str">
        <f t="shared" ref="F9:F63" si="8">D9&amp;E9</f>
        <v/>
      </c>
      <c r="G9" s="300"/>
      <c r="H9" s="302"/>
      <c r="I9" s="143" t="str">
        <f t="shared" si="0"/>
        <v/>
      </c>
      <c r="J9" s="290" t="str">
        <f t="shared" si="1"/>
        <v/>
      </c>
      <c r="K9" s="291" t="str">
        <f t="shared" ref="K9:K63" si="9">IF(J9="","",J9*$K$4)</f>
        <v/>
      </c>
      <c r="L9" s="291" t="str">
        <f t="shared" ref="L9:L63" si="10">IF(J9="","",J9*$L$4)</f>
        <v/>
      </c>
      <c r="M9" s="291">
        <f t="shared" si="2"/>
        <v>0</v>
      </c>
      <c r="N9" s="291">
        <f t="shared" si="3"/>
        <v>0</v>
      </c>
      <c r="O9" s="291">
        <f>IF(I9="OOP",IF(D9&lt;9,tabellen!$D$37,tabellen!$D$38),0)*H9</f>
        <v>0</v>
      </c>
      <c r="P9" s="291">
        <f t="shared" ref="P9:P63" si="11">IF(_xlfn.IFNA(Q9,0),Q9*H9,0)</f>
        <v>0</v>
      </c>
      <c r="Q9" s="292" t="e">
        <f>VLOOKUP(F9,tabellen!$C$51:$D$64,2,FALSE)</f>
        <v>#N/A</v>
      </c>
      <c r="R9" s="293">
        <f t="shared" si="4"/>
        <v>0</v>
      </c>
      <c r="S9" s="291">
        <f>IF(R9-(tabellen!$F$8*'wg lasten totaal'!H9)&lt;0,0,(R9-(tabellen!$F$8*'wg lasten totaal'!H9))*S$4)</f>
        <v>0</v>
      </c>
      <c r="T9" s="291">
        <f>IF(R9-(tabellen!$F$9*'wg lasten totaal'!H9)&lt;0,0,(R9-(tabellen!$F$9*'wg lasten totaal'!H9))*T$4)</f>
        <v>0</v>
      </c>
      <c r="U9" s="291">
        <f t="shared" si="5"/>
        <v>0</v>
      </c>
      <c r="V9" s="291">
        <f>IF($AJ9&gt;tabellen!H$11,tabellen!H$11*V$4,$AJ9*V$4)</f>
        <v>0</v>
      </c>
      <c r="W9" s="291">
        <f>IF($AJ9&gt;tabellen!H$13,tabellen!H$13*W$4,$AJ9*W$4)</f>
        <v>0</v>
      </c>
      <c r="X9" s="291">
        <f>IF($AJ9&gt;tabellen!H$14,tabellen!H$14*X$4,$AJ9*X$4)</f>
        <v>0</v>
      </c>
      <c r="Y9" s="291" t="str">
        <f t="shared" ref="Y9:Y63" si="12">IF(J9="","",(J9+K9)*Y$4)</f>
        <v/>
      </c>
      <c r="Z9" s="291" t="str">
        <f t="shared" ref="Z9:Z63" si="13">IF(J9="","",(J9+K9)*Z$4)</f>
        <v/>
      </c>
      <c r="AA9" s="293">
        <f t="shared" si="6"/>
        <v>0</v>
      </c>
      <c r="AB9" s="292" t="str">
        <f t="shared" ref="AB9:AB63" si="14">IF(J9="","",(J9+K9)*AB$4)</f>
        <v/>
      </c>
      <c r="AC9" s="294"/>
      <c r="AD9" s="294"/>
      <c r="AE9" s="292">
        <f t="shared" ref="AE9:AE63" si="15">SUM(AB9:AD9)</f>
        <v>0</v>
      </c>
      <c r="AF9" s="293" t="str">
        <f t="shared" ref="AF9:AF63" si="16">IF(H9="","",AE9+AA9+R9)</f>
        <v/>
      </c>
      <c r="AG9" s="289" t="str">
        <f t="shared" ref="AG9:AG63" si="17">IF(AF9="","",AF9/J9-1)</f>
        <v/>
      </c>
      <c r="AI9" s="142">
        <f>IF(R9-(tabellen!$F$8*'wg lasten totaal'!H$8)&lt;0,0,(R9-(tabellen!$F$8*'wg lasten totaal'!H$8))*AI$4)</f>
        <v>0</v>
      </c>
      <c r="AJ9" s="142">
        <f t="shared" si="7"/>
        <v>0</v>
      </c>
    </row>
    <row r="10" spans="2:36" ht="10.9" customHeight="1" x14ac:dyDescent="0.2">
      <c r="B10" s="298"/>
      <c r="C10" s="299"/>
      <c r="D10" s="300"/>
      <c r="E10" s="300"/>
      <c r="F10" s="301" t="str">
        <f t="shared" si="8"/>
        <v/>
      </c>
      <c r="G10" s="300"/>
      <c r="H10" s="302"/>
      <c r="I10" s="143" t="str">
        <f t="shared" si="0"/>
        <v/>
      </c>
      <c r="J10" s="290" t="str">
        <f t="shared" si="1"/>
        <v/>
      </c>
      <c r="K10" s="291" t="str">
        <f t="shared" si="9"/>
        <v/>
      </c>
      <c r="L10" s="291" t="str">
        <f t="shared" si="10"/>
        <v/>
      </c>
      <c r="M10" s="291">
        <f t="shared" si="2"/>
        <v>0</v>
      </c>
      <c r="N10" s="291">
        <f t="shared" si="3"/>
        <v>0</v>
      </c>
      <c r="O10" s="291">
        <f>IF(I10="OOP",IF(D10&lt;9,tabellen!$D$37,tabellen!$D$38),0)*H10</f>
        <v>0</v>
      </c>
      <c r="P10" s="291">
        <f t="shared" si="11"/>
        <v>0</v>
      </c>
      <c r="Q10" s="292" t="e">
        <f>VLOOKUP(F10,tabellen!$C$51:$D$64,2,FALSE)</f>
        <v>#N/A</v>
      </c>
      <c r="R10" s="293">
        <f t="shared" si="4"/>
        <v>0</v>
      </c>
      <c r="S10" s="291">
        <f>IF(R10-(tabellen!$F$8*'wg lasten totaal'!H10)&lt;0,0,(R10-(tabellen!$F$8*'wg lasten totaal'!H10))*S$4)</f>
        <v>0</v>
      </c>
      <c r="T10" s="291">
        <f>IF(R10-(tabellen!$F$9*'wg lasten totaal'!H10)&lt;0,0,(R10-(tabellen!$F$9*'wg lasten totaal'!H10))*T$4)</f>
        <v>0</v>
      </c>
      <c r="U10" s="291">
        <f t="shared" si="5"/>
        <v>0</v>
      </c>
      <c r="V10" s="291">
        <f>IF($AJ10&gt;tabellen!H$11,tabellen!H$11*V$4,$AJ10*V$4)</f>
        <v>0</v>
      </c>
      <c r="W10" s="291">
        <f>IF($AJ10&gt;tabellen!H$13,tabellen!H$13*W$4,$AJ10*W$4)</f>
        <v>0</v>
      </c>
      <c r="X10" s="291">
        <f>IF($AJ10&gt;tabellen!H$14,tabellen!H$14*X$4,$AJ10*X$4)</f>
        <v>0</v>
      </c>
      <c r="Y10" s="291" t="str">
        <f t="shared" si="12"/>
        <v/>
      </c>
      <c r="Z10" s="291" t="str">
        <f t="shared" si="13"/>
        <v/>
      </c>
      <c r="AA10" s="293">
        <f t="shared" si="6"/>
        <v>0</v>
      </c>
      <c r="AB10" s="292" t="str">
        <f t="shared" si="14"/>
        <v/>
      </c>
      <c r="AC10" s="294"/>
      <c r="AD10" s="294"/>
      <c r="AE10" s="292">
        <f t="shared" si="15"/>
        <v>0</v>
      </c>
      <c r="AF10" s="293" t="str">
        <f t="shared" si="16"/>
        <v/>
      </c>
      <c r="AG10" s="289" t="str">
        <f t="shared" si="17"/>
        <v/>
      </c>
      <c r="AI10" s="142">
        <f>IF(R10-(tabellen!$F$8*'wg lasten totaal'!H$8)&lt;0,0,(R10-(tabellen!$F$8*'wg lasten totaal'!H$8))*AI$4)</f>
        <v>0</v>
      </c>
      <c r="AJ10" s="142">
        <f t="shared" si="7"/>
        <v>0</v>
      </c>
    </row>
    <row r="11" spans="2:36" ht="10.9" customHeight="1" x14ac:dyDescent="0.2">
      <c r="B11" s="298"/>
      <c r="C11" s="299"/>
      <c r="D11" s="300"/>
      <c r="E11" s="300"/>
      <c r="F11" s="301" t="str">
        <f t="shared" si="8"/>
        <v/>
      </c>
      <c r="G11" s="300"/>
      <c r="H11" s="302"/>
      <c r="I11" s="143" t="str">
        <f t="shared" si="0"/>
        <v/>
      </c>
      <c r="J11" s="290" t="str">
        <f t="shared" si="1"/>
        <v/>
      </c>
      <c r="K11" s="291" t="str">
        <f t="shared" si="9"/>
        <v/>
      </c>
      <c r="L11" s="291" t="str">
        <f t="shared" si="10"/>
        <v/>
      </c>
      <c r="M11" s="291">
        <f t="shared" si="2"/>
        <v>0</v>
      </c>
      <c r="N11" s="291">
        <f t="shared" si="3"/>
        <v>0</v>
      </c>
      <c r="O11" s="291">
        <f>IF(I11="OOP",IF(D11&lt;9,tabellen!$D$37,tabellen!$D$38),0)*H11</f>
        <v>0</v>
      </c>
      <c r="P11" s="291">
        <f t="shared" si="11"/>
        <v>0</v>
      </c>
      <c r="Q11" s="292" t="e">
        <f>VLOOKUP(F11,tabellen!$C$51:$D$64,2,FALSE)</f>
        <v>#N/A</v>
      </c>
      <c r="R11" s="293">
        <f t="shared" si="4"/>
        <v>0</v>
      </c>
      <c r="S11" s="291">
        <f>IF(R11-(tabellen!$F$8*'wg lasten totaal'!H11)&lt;0,0,(R11-(tabellen!$F$8*'wg lasten totaal'!H11))*S$4)</f>
        <v>0</v>
      </c>
      <c r="T11" s="291">
        <f>IF(R11-(tabellen!$F$9*'wg lasten totaal'!H11)&lt;0,0,(R11-(tabellen!$F$9*'wg lasten totaal'!H11))*T$4)</f>
        <v>0</v>
      </c>
      <c r="U11" s="291">
        <f t="shared" si="5"/>
        <v>0</v>
      </c>
      <c r="V11" s="291">
        <f>IF($AJ11&gt;tabellen!H$11,tabellen!H$11*V$4,$AJ11*V$4)</f>
        <v>0</v>
      </c>
      <c r="W11" s="291">
        <f>IF($AJ11&gt;tabellen!H$13,tabellen!H$13*W$4,$AJ11*W$4)</f>
        <v>0</v>
      </c>
      <c r="X11" s="291">
        <f>IF($AJ11&gt;tabellen!H$14,tabellen!H$14*X$4,$AJ11*X$4)</f>
        <v>0</v>
      </c>
      <c r="Y11" s="291" t="str">
        <f t="shared" si="12"/>
        <v/>
      </c>
      <c r="Z11" s="291" t="str">
        <f t="shared" si="13"/>
        <v/>
      </c>
      <c r="AA11" s="293">
        <f t="shared" si="6"/>
        <v>0</v>
      </c>
      <c r="AB11" s="292" t="str">
        <f t="shared" si="14"/>
        <v/>
      </c>
      <c r="AC11" s="294"/>
      <c r="AD11" s="294"/>
      <c r="AE11" s="292">
        <f t="shared" si="15"/>
        <v>0</v>
      </c>
      <c r="AF11" s="293" t="str">
        <f t="shared" si="16"/>
        <v/>
      </c>
      <c r="AG11" s="289" t="str">
        <f t="shared" si="17"/>
        <v/>
      </c>
      <c r="AI11" s="142">
        <f>IF(R11-(tabellen!$F$8*'wg lasten totaal'!H$8)&lt;0,0,(R11-(tabellen!$F$8*'wg lasten totaal'!H$8))*AI$4)</f>
        <v>0</v>
      </c>
      <c r="AJ11" s="142">
        <f t="shared" si="7"/>
        <v>0</v>
      </c>
    </row>
    <row r="12" spans="2:36" ht="10.9" customHeight="1" x14ac:dyDescent="0.2">
      <c r="B12" s="298"/>
      <c r="C12" s="299"/>
      <c r="D12" s="300"/>
      <c r="E12" s="300"/>
      <c r="F12" s="301" t="str">
        <f t="shared" si="8"/>
        <v/>
      </c>
      <c r="G12" s="300"/>
      <c r="H12" s="302"/>
      <c r="I12" s="143" t="str">
        <f t="shared" si="0"/>
        <v/>
      </c>
      <c r="J12" s="290" t="str">
        <f t="shared" si="1"/>
        <v/>
      </c>
      <c r="K12" s="291" t="str">
        <f t="shared" si="9"/>
        <v/>
      </c>
      <c r="L12" s="291" t="str">
        <f t="shared" si="10"/>
        <v/>
      </c>
      <c r="M12" s="291">
        <f t="shared" si="2"/>
        <v>0</v>
      </c>
      <c r="N12" s="291">
        <f t="shared" si="3"/>
        <v>0</v>
      </c>
      <c r="O12" s="291">
        <f>IF(I12="OOP",IF(D12&lt;9,tabellen!$D$37,tabellen!$D$38),0)*H12</f>
        <v>0</v>
      </c>
      <c r="P12" s="291">
        <f t="shared" si="11"/>
        <v>0</v>
      </c>
      <c r="Q12" s="292" t="e">
        <f>VLOOKUP(F12,tabellen!$C$51:$D$64,2,FALSE)</f>
        <v>#N/A</v>
      </c>
      <c r="R12" s="293">
        <f t="shared" si="4"/>
        <v>0</v>
      </c>
      <c r="S12" s="291">
        <f>IF(R12-(tabellen!$F$8*'wg lasten totaal'!H12)&lt;0,0,(R12-(tabellen!$F$8*'wg lasten totaal'!H12))*S$4)</f>
        <v>0</v>
      </c>
      <c r="T12" s="291">
        <f>IF(R12-(tabellen!$F$9*'wg lasten totaal'!H12)&lt;0,0,(R12-(tabellen!$F$9*'wg lasten totaal'!H12))*T$4)</f>
        <v>0</v>
      </c>
      <c r="U12" s="291">
        <f t="shared" si="5"/>
        <v>0</v>
      </c>
      <c r="V12" s="291">
        <f>IF($AJ12&gt;tabellen!H$11,tabellen!H$11*V$4,$AJ12*V$4)</f>
        <v>0</v>
      </c>
      <c r="W12" s="291">
        <f>IF($AJ12&gt;tabellen!H$13,tabellen!H$13*W$4,$AJ12*W$4)</f>
        <v>0</v>
      </c>
      <c r="X12" s="291">
        <f>IF($AJ12&gt;tabellen!H$14,tabellen!H$14*X$4,$AJ12*X$4)</f>
        <v>0</v>
      </c>
      <c r="Y12" s="291" t="str">
        <f t="shared" si="12"/>
        <v/>
      </c>
      <c r="Z12" s="291" t="str">
        <f t="shared" si="13"/>
        <v/>
      </c>
      <c r="AA12" s="293">
        <f t="shared" si="6"/>
        <v>0</v>
      </c>
      <c r="AB12" s="292" t="str">
        <f t="shared" si="14"/>
        <v/>
      </c>
      <c r="AC12" s="294"/>
      <c r="AD12" s="294"/>
      <c r="AE12" s="292">
        <f t="shared" si="15"/>
        <v>0</v>
      </c>
      <c r="AF12" s="293" t="str">
        <f t="shared" si="16"/>
        <v/>
      </c>
      <c r="AG12" s="289" t="str">
        <f t="shared" si="17"/>
        <v/>
      </c>
      <c r="AI12" s="142">
        <f>IF(R12-(tabellen!$F$8*'wg lasten totaal'!H$8)&lt;0,0,(R12-(tabellen!$F$8*'wg lasten totaal'!H$8))*AI$4)</f>
        <v>0</v>
      </c>
      <c r="AJ12" s="142">
        <f t="shared" si="7"/>
        <v>0</v>
      </c>
    </row>
    <row r="13" spans="2:36" ht="10.9" customHeight="1" x14ac:dyDescent="0.2">
      <c r="B13" s="298"/>
      <c r="C13" s="299"/>
      <c r="D13" s="300"/>
      <c r="E13" s="300"/>
      <c r="F13" s="301" t="str">
        <f t="shared" si="8"/>
        <v/>
      </c>
      <c r="G13" s="300"/>
      <c r="H13" s="302"/>
      <c r="I13" s="143" t="str">
        <f t="shared" si="0"/>
        <v/>
      </c>
      <c r="J13" s="290" t="str">
        <f t="shared" si="1"/>
        <v/>
      </c>
      <c r="K13" s="291" t="str">
        <f t="shared" si="9"/>
        <v/>
      </c>
      <c r="L13" s="291" t="str">
        <f t="shared" si="10"/>
        <v/>
      </c>
      <c r="M13" s="291">
        <f t="shared" si="2"/>
        <v>0</v>
      </c>
      <c r="N13" s="291">
        <f t="shared" si="3"/>
        <v>0</v>
      </c>
      <c r="O13" s="291">
        <f>IF(I13="OOP",IF(D13&lt;9,tabellen!$D$37,tabellen!$D$38),0)*H13</f>
        <v>0</v>
      </c>
      <c r="P13" s="291">
        <f t="shared" si="11"/>
        <v>0</v>
      </c>
      <c r="Q13" s="292" t="e">
        <f>VLOOKUP(F13,tabellen!$C$51:$D$64,2,FALSE)</f>
        <v>#N/A</v>
      </c>
      <c r="R13" s="293">
        <f t="shared" si="4"/>
        <v>0</v>
      </c>
      <c r="S13" s="291">
        <f>IF(R13-(tabellen!$F$8*'wg lasten totaal'!H13)&lt;0,0,(R13-(tabellen!$F$8*'wg lasten totaal'!H13))*S$4)</f>
        <v>0</v>
      </c>
      <c r="T13" s="291">
        <f>IF(R13-(tabellen!$F$9*'wg lasten totaal'!H13)&lt;0,0,(R13-(tabellen!$F$9*'wg lasten totaal'!H13))*T$4)</f>
        <v>0</v>
      </c>
      <c r="U13" s="291">
        <f t="shared" si="5"/>
        <v>0</v>
      </c>
      <c r="V13" s="291">
        <f>IF($AJ13&gt;tabellen!H$11,tabellen!H$11*V$4,$AJ13*V$4)</f>
        <v>0</v>
      </c>
      <c r="W13" s="291">
        <f>IF($AJ13&gt;tabellen!H$13,tabellen!H$13*W$4,$AJ13*W$4)</f>
        <v>0</v>
      </c>
      <c r="X13" s="291">
        <f>IF($AJ13&gt;tabellen!H$14,tabellen!H$14*X$4,$AJ13*X$4)</f>
        <v>0</v>
      </c>
      <c r="Y13" s="291" t="str">
        <f t="shared" si="12"/>
        <v/>
      </c>
      <c r="Z13" s="291" t="str">
        <f t="shared" si="13"/>
        <v/>
      </c>
      <c r="AA13" s="293">
        <f t="shared" si="6"/>
        <v>0</v>
      </c>
      <c r="AB13" s="292" t="str">
        <f t="shared" si="14"/>
        <v/>
      </c>
      <c r="AC13" s="294"/>
      <c r="AD13" s="294"/>
      <c r="AE13" s="292">
        <f t="shared" si="15"/>
        <v>0</v>
      </c>
      <c r="AF13" s="293" t="str">
        <f t="shared" si="16"/>
        <v/>
      </c>
      <c r="AG13" s="289" t="str">
        <f t="shared" si="17"/>
        <v/>
      </c>
      <c r="AI13" s="142">
        <f>IF(R13-(tabellen!$F$8*'wg lasten totaal'!H$8)&lt;0,0,(R13-(tabellen!$F$8*'wg lasten totaal'!H$8))*AI$4)</f>
        <v>0</v>
      </c>
      <c r="AJ13" s="142">
        <f t="shared" si="7"/>
        <v>0</v>
      </c>
    </row>
    <row r="14" spans="2:36" ht="10.9" customHeight="1" x14ac:dyDescent="0.2">
      <c r="B14" s="298"/>
      <c r="C14" s="299"/>
      <c r="D14" s="300"/>
      <c r="E14" s="300"/>
      <c r="F14" s="301" t="str">
        <f t="shared" si="8"/>
        <v/>
      </c>
      <c r="G14" s="300"/>
      <c r="H14" s="302"/>
      <c r="I14" s="143" t="str">
        <f t="shared" si="0"/>
        <v/>
      </c>
      <c r="J14" s="290" t="str">
        <f t="shared" si="1"/>
        <v/>
      </c>
      <c r="K14" s="291" t="str">
        <f t="shared" si="9"/>
        <v/>
      </c>
      <c r="L14" s="291" t="str">
        <f t="shared" si="10"/>
        <v/>
      </c>
      <c r="M14" s="291">
        <f t="shared" si="2"/>
        <v>0</v>
      </c>
      <c r="N14" s="291">
        <f t="shared" si="3"/>
        <v>0</v>
      </c>
      <c r="O14" s="291">
        <f>IF(I14="OOP",IF(D14&lt;9,tabellen!$D$37,tabellen!$D$38),0)*H14</f>
        <v>0</v>
      </c>
      <c r="P14" s="291">
        <f t="shared" si="11"/>
        <v>0</v>
      </c>
      <c r="Q14" s="292" t="e">
        <f>VLOOKUP(F14,tabellen!$C$51:$D$64,2,FALSE)</f>
        <v>#N/A</v>
      </c>
      <c r="R14" s="293">
        <f t="shared" si="4"/>
        <v>0</v>
      </c>
      <c r="S14" s="291">
        <f>IF(R14-(tabellen!$F$8*'wg lasten totaal'!H14)&lt;0,0,(R14-(tabellen!$F$8*'wg lasten totaal'!H14))*S$4)</f>
        <v>0</v>
      </c>
      <c r="T14" s="291">
        <f>IF(R14-(tabellen!$F$9*'wg lasten totaal'!H14)&lt;0,0,(R14-(tabellen!$F$9*'wg lasten totaal'!H14))*T$4)</f>
        <v>0</v>
      </c>
      <c r="U14" s="291">
        <f t="shared" si="5"/>
        <v>0</v>
      </c>
      <c r="V14" s="291">
        <f>IF($AJ14&gt;tabellen!H$11,tabellen!H$11*V$4,$AJ14*V$4)</f>
        <v>0</v>
      </c>
      <c r="W14" s="291">
        <f>IF($AJ14&gt;tabellen!H$13,tabellen!H$13*W$4,$AJ14*W$4)</f>
        <v>0</v>
      </c>
      <c r="X14" s="291">
        <f>IF($AJ14&gt;tabellen!H$14,tabellen!H$14*X$4,$AJ14*X$4)</f>
        <v>0</v>
      </c>
      <c r="Y14" s="291" t="str">
        <f t="shared" si="12"/>
        <v/>
      </c>
      <c r="Z14" s="291" t="str">
        <f t="shared" si="13"/>
        <v/>
      </c>
      <c r="AA14" s="293">
        <f t="shared" si="6"/>
        <v>0</v>
      </c>
      <c r="AB14" s="292" t="str">
        <f t="shared" si="14"/>
        <v/>
      </c>
      <c r="AC14" s="294"/>
      <c r="AD14" s="294"/>
      <c r="AE14" s="292">
        <f t="shared" si="15"/>
        <v>0</v>
      </c>
      <c r="AF14" s="293" t="str">
        <f t="shared" si="16"/>
        <v/>
      </c>
      <c r="AG14" s="289" t="str">
        <f t="shared" si="17"/>
        <v/>
      </c>
      <c r="AI14" s="142">
        <f>IF(R14-(tabellen!$F$8*'wg lasten totaal'!H$8)&lt;0,0,(R14-(tabellen!$F$8*'wg lasten totaal'!H$8))*AI$4)</f>
        <v>0</v>
      </c>
      <c r="AJ14" s="142">
        <f t="shared" si="7"/>
        <v>0</v>
      </c>
    </row>
    <row r="15" spans="2:36" ht="10.9" customHeight="1" x14ac:dyDescent="0.2">
      <c r="B15" s="298"/>
      <c r="C15" s="299"/>
      <c r="D15" s="300"/>
      <c r="E15" s="300"/>
      <c r="F15" s="301" t="str">
        <f t="shared" si="8"/>
        <v/>
      </c>
      <c r="G15" s="300"/>
      <c r="H15" s="302"/>
      <c r="I15" s="143" t="str">
        <f t="shared" si="0"/>
        <v/>
      </c>
      <c r="J15" s="290" t="str">
        <f t="shared" si="1"/>
        <v/>
      </c>
      <c r="K15" s="291" t="str">
        <f t="shared" si="9"/>
        <v/>
      </c>
      <c r="L15" s="291" t="str">
        <f t="shared" si="10"/>
        <v/>
      </c>
      <c r="M15" s="291">
        <f t="shared" si="2"/>
        <v>0</v>
      </c>
      <c r="N15" s="291">
        <f t="shared" si="3"/>
        <v>0</v>
      </c>
      <c r="O15" s="291">
        <f>IF(I15="OOP",IF(D15&lt;9,tabellen!$D$37,tabellen!$D$38),0)*H15</f>
        <v>0</v>
      </c>
      <c r="P15" s="291">
        <f t="shared" si="11"/>
        <v>0</v>
      </c>
      <c r="Q15" s="292" t="e">
        <f>VLOOKUP(F15,tabellen!$C$51:$D$64,2,FALSE)</f>
        <v>#N/A</v>
      </c>
      <c r="R15" s="293">
        <f t="shared" si="4"/>
        <v>0</v>
      </c>
      <c r="S15" s="291">
        <f>IF(R15-(tabellen!$F$8*'wg lasten totaal'!H15)&lt;0,0,(R15-(tabellen!$F$8*'wg lasten totaal'!H15))*S$4)</f>
        <v>0</v>
      </c>
      <c r="T15" s="291">
        <f>IF(R15-(tabellen!$F$9*'wg lasten totaal'!H15)&lt;0,0,(R15-(tabellen!$F$9*'wg lasten totaal'!H15))*T$4)</f>
        <v>0</v>
      </c>
      <c r="U15" s="291">
        <f t="shared" si="5"/>
        <v>0</v>
      </c>
      <c r="V15" s="291">
        <f>IF($AJ15&gt;tabellen!H$11,tabellen!H$11*V$4,$AJ15*V$4)</f>
        <v>0</v>
      </c>
      <c r="W15" s="291">
        <f>IF($AJ15&gt;tabellen!H$13,tabellen!H$13*W$4,$AJ15*W$4)</f>
        <v>0</v>
      </c>
      <c r="X15" s="291">
        <f>IF($AJ15&gt;tabellen!H$14,tabellen!H$14*X$4,$AJ15*X$4)</f>
        <v>0</v>
      </c>
      <c r="Y15" s="291" t="str">
        <f t="shared" si="12"/>
        <v/>
      </c>
      <c r="Z15" s="291" t="str">
        <f t="shared" si="13"/>
        <v/>
      </c>
      <c r="AA15" s="293">
        <f t="shared" si="6"/>
        <v>0</v>
      </c>
      <c r="AB15" s="292" t="str">
        <f t="shared" si="14"/>
        <v/>
      </c>
      <c r="AC15" s="294"/>
      <c r="AD15" s="294"/>
      <c r="AE15" s="292">
        <f t="shared" si="15"/>
        <v>0</v>
      </c>
      <c r="AF15" s="293" t="str">
        <f t="shared" si="16"/>
        <v/>
      </c>
      <c r="AG15" s="289" t="str">
        <f t="shared" si="17"/>
        <v/>
      </c>
      <c r="AI15" s="142">
        <f>IF(R15-(tabellen!$F$8*'wg lasten totaal'!H$8)&lt;0,0,(R15-(tabellen!$F$8*'wg lasten totaal'!H$8))*AI$4)</f>
        <v>0</v>
      </c>
      <c r="AJ15" s="142">
        <f t="shared" si="7"/>
        <v>0</v>
      </c>
    </row>
    <row r="16" spans="2:36" ht="10.9" customHeight="1" x14ac:dyDescent="0.2">
      <c r="B16" s="298"/>
      <c r="C16" s="299"/>
      <c r="D16" s="300"/>
      <c r="E16" s="300"/>
      <c r="F16" s="301" t="str">
        <f t="shared" si="8"/>
        <v/>
      </c>
      <c r="G16" s="300"/>
      <c r="H16" s="302"/>
      <c r="I16" s="143" t="str">
        <f t="shared" si="0"/>
        <v/>
      </c>
      <c r="J16" s="290" t="str">
        <f t="shared" si="1"/>
        <v/>
      </c>
      <c r="K16" s="291" t="str">
        <f t="shared" si="9"/>
        <v/>
      </c>
      <c r="L16" s="291" t="str">
        <f t="shared" si="10"/>
        <v/>
      </c>
      <c r="M16" s="291">
        <f t="shared" si="2"/>
        <v>0</v>
      </c>
      <c r="N16" s="291">
        <f t="shared" si="3"/>
        <v>0</v>
      </c>
      <c r="O16" s="291">
        <f>IF(I16="OOP",IF(D16&lt;9,tabellen!$D$37,tabellen!$D$38),0)*H16</f>
        <v>0</v>
      </c>
      <c r="P16" s="291">
        <f t="shared" si="11"/>
        <v>0</v>
      </c>
      <c r="Q16" s="292" t="e">
        <f>VLOOKUP(F16,tabellen!$C$51:$D$64,2,FALSE)</f>
        <v>#N/A</v>
      </c>
      <c r="R16" s="293">
        <f t="shared" si="4"/>
        <v>0</v>
      </c>
      <c r="S16" s="291">
        <f>IF(R16-(tabellen!$F$8*'wg lasten totaal'!H16)&lt;0,0,(R16-(tabellen!$F$8*'wg lasten totaal'!H16))*S$4)</f>
        <v>0</v>
      </c>
      <c r="T16" s="291">
        <f>IF(R16-(tabellen!$F$9*'wg lasten totaal'!H16)&lt;0,0,(R16-(tabellen!$F$9*'wg lasten totaal'!H16))*T$4)</f>
        <v>0</v>
      </c>
      <c r="U16" s="291">
        <f t="shared" si="5"/>
        <v>0</v>
      </c>
      <c r="V16" s="291">
        <f>IF($AJ16&gt;tabellen!H$11,tabellen!H$11*V$4,$AJ16*V$4)</f>
        <v>0</v>
      </c>
      <c r="W16" s="291">
        <f>IF($AJ16&gt;tabellen!H$13,tabellen!H$13*W$4,$AJ16*W$4)</f>
        <v>0</v>
      </c>
      <c r="X16" s="291">
        <f>IF($AJ16&gt;tabellen!H$14,tabellen!H$14*X$4,$AJ16*X$4)</f>
        <v>0</v>
      </c>
      <c r="Y16" s="291" t="str">
        <f t="shared" si="12"/>
        <v/>
      </c>
      <c r="Z16" s="291" t="str">
        <f t="shared" si="13"/>
        <v/>
      </c>
      <c r="AA16" s="293">
        <f t="shared" si="6"/>
        <v>0</v>
      </c>
      <c r="AB16" s="292" t="str">
        <f t="shared" si="14"/>
        <v/>
      </c>
      <c r="AC16" s="294"/>
      <c r="AD16" s="294"/>
      <c r="AE16" s="292">
        <f t="shared" si="15"/>
        <v>0</v>
      </c>
      <c r="AF16" s="293" t="str">
        <f t="shared" si="16"/>
        <v/>
      </c>
      <c r="AG16" s="289" t="str">
        <f t="shared" si="17"/>
        <v/>
      </c>
      <c r="AI16" s="142">
        <f>IF(R16-(tabellen!$F$8*'wg lasten totaal'!H$8)&lt;0,0,(R16-(tabellen!$F$8*'wg lasten totaal'!H$8))*AI$4)</f>
        <v>0</v>
      </c>
      <c r="AJ16" s="142">
        <f t="shared" si="7"/>
        <v>0</v>
      </c>
    </row>
    <row r="17" spans="2:36" ht="10.9" customHeight="1" x14ac:dyDescent="0.2">
      <c r="B17" s="298"/>
      <c r="C17" s="299"/>
      <c r="D17" s="300"/>
      <c r="E17" s="300"/>
      <c r="F17" s="301" t="str">
        <f t="shared" si="8"/>
        <v/>
      </c>
      <c r="G17" s="300"/>
      <c r="H17" s="302"/>
      <c r="I17" s="143" t="str">
        <f t="shared" si="0"/>
        <v/>
      </c>
      <c r="J17" s="290" t="str">
        <f t="shared" si="1"/>
        <v/>
      </c>
      <c r="K17" s="291" t="str">
        <f t="shared" si="9"/>
        <v/>
      </c>
      <c r="L17" s="291" t="str">
        <f t="shared" si="10"/>
        <v/>
      </c>
      <c r="M17" s="291">
        <f t="shared" si="2"/>
        <v>0</v>
      </c>
      <c r="N17" s="291">
        <f t="shared" si="3"/>
        <v>0</v>
      </c>
      <c r="O17" s="291">
        <f>IF(I17="OOP",IF(D17&lt;9,tabellen!$D$37,tabellen!$D$38),0)*H17</f>
        <v>0</v>
      </c>
      <c r="P17" s="291">
        <f t="shared" si="11"/>
        <v>0</v>
      </c>
      <c r="Q17" s="292" t="e">
        <f>VLOOKUP(F17,tabellen!$C$51:$D$64,2,FALSE)</f>
        <v>#N/A</v>
      </c>
      <c r="R17" s="293">
        <f t="shared" si="4"/>
        <v>0</v>
      </c>
      <c r="S17" s="291">
        <f>IF(R17-(tabellen!$F$8*'wg lasten totaal'!H17)&lt;0,0,(R17-(tabellen!$F$8*'wg lasten totaal'!H17))*S$4)</f>
        <v>0</v>
      </c>
      <c r="T17" s="291">
        <f>IF(R17-(tabellen!$F$9*'wg lasten totaal'!H17)&lt;0,0,(R17-(tabellen!$F$9*'wg lasten totaal'!H17))*T$4)</f>
        <v>0</v>
      </c>
      <c r="U17" s="291">
        <f t="shared" si="5"/>
        <v>0</v>
      </c>
      <c r="V17" s="291">
        <f>IF($AJ17&gt;tabellen!H$11,tabellen!H$11*V$4,$AJ17*V$4)</f>
        <v>0</v>
      </c>
      <c r="W17" s="291">
        <f>IF($AJ17&gt;tabellen!H$13,tabellen!H$13*W$4,$AJ17*W$4)</f>
        <v>0</v>
      </c>
      <c r="X17" s="291">
        <f>IF($AJ17&gt;tabellen!H$14,tabellen!H$14*X$4,$AJ17*X$4)</f>
        <v>0</v>
      </c>
      <c r="Y17" s="291" t="str">
        <f t="shared" si="12"/>
        <v/>
      </c>
      <c r="Z17" s="291" t="str">
        <f t="shared" si="13"/>
        <v/>
      </c>
      <c r="AA17" s="293">
        <f t="shared" si="6"/>
        <v>0</v>
      </c>
      <c r="AB17" s="292" t="str">
        <f t="shared" si="14"/>
        <v/>
      </c>
      <c r="AC17" s="294"/>
      <c r="AD17" s="294"/>
      <c r="AE17" s="292">
        <f t="shared" si="15"/>
        <v>0</v>
      </c>
      <c r="AF17" s="293" t="str">
        <f t="shared" si="16"/>
        <v/>
      </c>
      <c r="AG17" s="289" t="str">
        <f t="shared" si="17"/>
        <v/>
      </c>
      <c r="AI17" s="142">
        <f>IF(R17-(tabellen!$F$8*'wg lasten totaal'!H$8)&lt;0,0,(R17-(tabellen!$F$8*'wg lasten totaal'!H$8))*AI$4)</f>
        <v>0</v>
      </c>
      <c r="AJ17" s="142">
        <f t="shared" si="7"/>
        <v>0</v>
      </c>
    </row>
    <row r="18" spans="2:36" ht="10.9" customHeight="1" x14ac:dyDescent="0.2">
      <c r="B18" s="298"/>
      <c r="C18" s="299"/>
      <c r="D18" s="300"/>
      <c r="E18" s="300"/>
      <c r="F18" s="301"/>
      <c r="G18" s="300"/>
      <c r="H18" s="302"/>
      <c r="I18" s="143" t="str">
        <f t="shared" si="0"/>
        <v/>
      </c>
      <c r="J18" s="290" t="str">
        <f t="shared" si="1"/>
        <v/>
      </c>
      <c r="K18" s="291" t="str">
        <f t="shared" si="9"/>
        <v/>
      </c>
      <c r="L18" s="291" t="str">
        <f t="shared" si="10"/>
        <v/>
      </c>
      <c r="M18" s="291">
        <f t="shared" si="2"/>
        <v>0</v>
      </c>
      <c r="N18" s="291">
        <f t="shared" si="3"/>
        <v>0</v>
      </c>
      <c r="O18" s="291">
        <f>IF(I18="OOP",IF(D18&lt;9,tabellen!$D$37,tabellen!$D$38),0)*H18</f>
        <v>0</v>
      </c>
      <c r="P18" s="291">
        <f t="shared" si="11"/>
        <v>0</v>
      </c>
      <c r="Q18" s="292" t="e">
        <f>VLOOKUP(F18,tabellen!$C$51:$D$64,2,FALSE)</f>
        <v>#N/A</v>
      </c>
      <c r="R18" s="293">
        <f t="shared" si="4"/>
        <v>0</v>
      </c>
      <c r="S18" s="291">
        <f>IF(R18-(tabellen!$F$8*'wg lasten totaal'!H18)&lt;0,0,(R18-(tabellen!$F$8*'wg lasten totaal'!H18))*S$4)</f>
        <v>0</v>
      </c>
      <c r="T18" s="291">
        <f>IF(R18-(tabellen!$F$9*'wg lasten totaal'!H18)&lt;0,0,(R18-(tabellen!$F$9*'wg lasten totaal'!H18))*T$4)</f>
        <v>0</v>
      </c>
      <c r="U18" s="291">
        <f t="shared" si="5"/>
        <v>0</v>
      </c>
      <c r="V18" s="291">
        <f>IF($AJ18&gt;tabellen!H$11,tabellen!H$11*V$4,$AJ18*V$4)</f>
        <v>0</v>
      </c>
      <c r="W18" s="291">
        <f>IF($AJ18&gt;tabellen!H$13,tabellen!H$13*W$4,$AJ18*W$4)</f>
        <v>0</v>
      </c>
      <c r="X18" s="291">
        <f>IF($AJ18&gt;tabellen!H$14,tabellen!H$14*X$4,$AJ18*X$4)</f>
        <v>0</v>
      </c>
      <c r="Y18" s="291" t="str">
        <f t="shared" si="12"/>
        <v/>
      </c>
      <c r="Z18" s="291" t="str">
        <f t="shared" si="13"/>
        <v/>
      </c>
      <c r="AA18" s="293">
        <f t="shared" si="6"/>
        <v>0</v>
      </c>
      <c r="AB18" s="292" t="str">
        <f t="shared" si="14"/>
        <v/>
      </c>
      <c r="AC18" s="294"/>
      <c r="AD18" s="294"/>
      <c r="AE18" s="292">
        <f t="shared" si="15"/>
        <v>0</v>
      </c>
      <c r="AF18" s="293" t="str">
        <f t="shared" si="16"/>
        <v/>
      </c>
      <c r="AG18" s="289" t="str">
        <f t="shared" si="17"/>
        <v/>
      </c>
      <c r="AI18" s="142">
        <f>IF(R18-(tabellen!$F$8*'wg lasten totaal'!H$8)&lt;0,0,(R18-(tabellen!$F$8*'wg lasten totaal'!H$8))*AI$4)</f>
        <v>0</v>
      </c>
      <c r="AJ18" s="142">
        <f t="shared" si="7"/>
        <v>0</v>
      </c>
    </row>
    <row r="19" spans="2:36" ht="10.9" customHeight="1" x14ac:dyDescent="0.2">
      <c r="B19" s="298"/>
      <c r="C19" s="299"/>
      <c r="D19" s="300"/>
      <c r="E19" s="300"/>
      <c r="F19" s="301" t="str">
        <f t="shared" si="8"/>
        <v/>
      </c>
      <c r="G19" s="300"/>
      <c r="H19" s="302"/>
      <c r="I19" s="143" t="str">
        <f t="shared" si="0"/>
        <v/>
      </c>
      <c r="J19" s="290" t="str">
        <f t="shared" si="1"/>
        <v/>
      </c>
      <c r="K19" s="291" t="str">
        <f t="shared" si="9"/>
        <v/>
      </c>
      <c r="L19" s="291" t="str">
        <f t="shared" si="10"/>
        <v/>
      </c>
      <c r="M19" s="291">
        <f t="shared" si="2"/>
        <v>0</v>
      </c>
      <c r="N19" s="291">
        <f t="shared" si="3"/>
        <v>0</v>
      </c>
      <c r="O19" s="291">
        <f>IF(I19="OOP",IF(D19&lt;9,tabellen!$D$37,tabellen!$D$38),0)*H19</f>
        <v>0</v>
      </c>
      <c r="P19" s="291">
        <f t="shared" si="11"/>
        <v>0</v>
      </c>
      <c r="Q19" s="292" t="e">
        <f>VLOOKUP(F19,tabellen!$C$51:$D$64,2,FALSE)</f>
        <v>#N/A</v>
      </c>
      <c r="R19" s="293">
        <f t="shared" si="4"/>
        <v>0</v>
      </c>
      <c r="S19" s="291">
        <f>IF(R19-(tabellen!$F$8*'wg lasten totaal'!H19)&lt;0,0,(R19-(tabellen!$F$8*'wg lasten totaal'!H19))*S$4)</f>
        <v>0</v>
      </c>
      <c r="T19" s="291">
        <f>IF(R19-(tabellen!$F$9*'wg lasten totaal'!H19)&lt;0,0,(R19-(tabellen!$F$9*'wg lasten totaal'!H19))*T$4)</f>
        <v>0</v>
      </c>
      <c r="U19" s="291">
        <f t="shared" si="5"/>
        <v>0</v>
      </c>
      <c r="V19" s="291">
        <f>IF($AJ19&gt;tabellen!H$11,tabellen!H$11*V$4,$AJ19*V$4)</f>
        <v>0</v>
      </c>
      <c r="W19" s="291">
        <f>IF($AJ19&gt;tabellen!H$13,tabellen!H$13*W$4,$AJ19*W$4)</f>
        <v>0</v>
      </c>
      <c r="X19" s="291">
        <f>IF($AJ19&gt;tabellen!H$14,tabellen!H$14*X$4,$AJ19*X$4)</f>
        <v>0</v>
      </c>
      <c r="Y19" s="291" t="str">
        <f t="shared" si="12"/>
        <v/>
      </c>
      <c r="Z19" s="291" t="str">
        <f t="shared" si="13"/>
        <v/>
      </c>
      <c r="AA19" s="293">
        <f t="shared" si="6"/>
        <v>0</v>
      </c>
      <c r="AB19" s="292" t="str">
        <f t="shared" si="14"/>
        <v/>
      </c>
      <c r="AC19" s="294"/>
      <c r="AD19" s="294"/>
      <c r="AE19" s="292">
        <f t="shared" si="15"/>
        <v>0</v>
      </c>
      <c r="AF19" s="293" t="str">
        <f t="shared" si="16"/>
        <v/>
      </c>
      <c r="AG19" s="289" t="str">
        <f t="shared" si="17"/>
        <v/>
      </c>
      <c r="AI19" s="142">
        <f>IF(R19-(tabellen!$F$8*'wg lasten totaal'!H$8)&lt;0,0,(R19-(tabellen!$F$8*'wg lasten totaal'!H$8))*AI$4)</f>
        <v>0</v>
      </c>
      <c r="AJ19" s="142">
        <f t="shared" si="7"/>
        <v>0</v>
      </c>
    </row>
    <row r="20" spans="2:36" ht="10.9" customHeight="1" x14ac:dyDescent="0.2">
      <c r="B20" s="298"/>
      <c r="C20" s="299"/>
      <c r="D20" s="300"/>
      <c r="E20" s="300"/>
      <c r="F20" s="301" t="str">
        <f t="shared" si="8"/>
        <v/>
      </c>
      <c r="G20" s="300"/>
      <c r="H20" s="302"/>
      <c r="I20" s="143" t="str">
        <f t="shared" si="0"/>
        <v/>
      </c>
      <c r="J20" s="290" t="str">
        <f t="shared" si="1"/>
        <v/>
      </c>
      <c r="K20" s="291" t="str">
        <f t="shared" si="9"/>
        <v/>
      </c>
      <c r="L20" s="291" t="str">
        <f t="shared" si="10"/>
        <v/>
      </c>
      <c r="M20" s="291">
        <f t="shared" si="2"/>
        <v>0</v>
      </c>
      <c r="N20" s="291">
        <f t="shared" si="3"/>
        <v>0</v>
      </c>
      <c r="O20" s="291">
        <f>IF(I20="OOP",IF(D20&lt;9,tabellen!$D$37,tabellen!$D$38),0)*H20</f>
        <v>0</v>
      </c>
      <c r="P20" s="291">
        <f t="shared" si="11"/>
        <v>0</v>
      </c>
      <c r="Q20" s="292" t="e">
        <f>VLOOKUP(F20,tabellen!$C$51:$D$64,2,FALSE)</f>
        <v>#N/A</v>
      </c>
      <c r="R20" s="293">
        <f t="shared" si="4"/>
        <v>0</v>
      </c>
      <c r="S20" s="291">
        <f>IF(R20-(tabellen!$F$8*'wg lasten totaal'!H20)&lt;0,0,(R20-(tabellen!$F$8*'wg lasten totaal'!H20))*S$4)</f>
        <v>0</v>
      </c>
      <c r="T20" s="291">
        <f>IF(R20-(tabellen!$F$9*'wg lasten totaal'!H20)&lt;0,0,(R20-(tabellen!$F$9*'wg lasten totaal'!H20))*T$4)</f>
        <v>0</v>
      </c>
      <c r="U20" s="291">
        <f t="shared" si="5"/>
        <v>0</v>
      </c>
      <c r="V20" s="291">
        <f>IF($AJ20&gt;tabellen!H$11,tabellen!H$11*V$4,$AJ20*V$4)</f>
        <v>0</v>
      </c>
      <c r="W20" s="291">
        <f>IF($AJ20&gt;tabellen!H$13,tabellen!H$13*W$4,$AJ20*W$4)</f>
        <v>0</v>
      </c>
      <c r="X20" s="291">
        <f>IF($AJ20&gt;tabellen!H$14,tabellen!H$14*X$4,$AJ20*X$4)</f>
        <v>0</v>
      </c>
      <c r="Y20" s="291" t="str">
        <f t="shared" si="12"/>
        <v/>
      </c>
      <c r="Z20" s="291" t="str">
        <f t="shared" si="13"/>
        <v/>
      </c>
      <c r="AA20" s="293">
        <f t="shared" si="6"/>
        <v>0</v>
      </c>
      <c r="AB20" s="292" t="str">
        <f t="shared" si="14"/>
        <v/>
      </c>
      <c r="AC20" s="294"/>
      <c r="AD20" s="294"/>
      <c r="AE20" s="292">
        <f t="shared" si="15"/>
        <v>0</v>
      </c>
      <c r="AF20" s="293" t="str">
        <f t="shared" si="16"/>
        <v/>
      </c>
      <c r="AG20" s="289" t="str">
        <f t="shared" si="17"/>
        <v/>
      </c>
      <c r="AI20" s="142">
        <f>IF(R20-(tabellen!$F$8*'wg lasten totaal'!H$8)&lt;0,0,(R20-(tabellen!$F$8*'wg lasten totaal'!H$8))*AI$4)</f>
        <v>0</v>
      </c>
      <c r="AJ20" s="142">
        <f t="shared" si="7"/>
        <v>0</v>
      </c>
    </row>
    <row r="21" spans="2:36" ht="10.9" customHeight="1" x14ac:dyDescent="0.2">
      <c r="B21" s="298"/>
      <c r="C21" s="299"/>
      <c r="D21" s="300"/>
      <c r="E21" s="300"/>
      <c r="F21" s="301" t="str">
        <f t="shared" si="8"/>
        <v/>
      </c>
      <c r="G21" s="300"/>
      <c r="H21" s="302"/>
      <c r="I21" s="143" t="str">
        <f t="shared" si="0"/>
        <v/>
      </c>
      <c r="J21" s="290" t="str">
        <f t="shared" si="1"/>
        <v/>
      </c>
      <c r="K21" s="291" t="str">
        <f t="shared" si="9"/>
        <v/>
      </c>
      <c r="L21" s="291" t="str">
        <f t="shared" si="10"/>
        <v/>
      </c>
      <c r="M21" s="291">
        <f t="shared" si="2"/>
        <v>0</v>
      </c>
      <c r="N21" s="291">
        <f t="shared" si="3"/>
        <v>0</v>
      </c>
      <c r="O21" s="291">
        <f>IF(I21="OOP",IF(D21&lt;9,tabellen!$D$37,tabellen!$D$38),0)*H21</f>
        <v>0</v>
      </c>
      <c r="P21" s="291">
        <f t="shared" si="11"/>
        <v>0</v>
      </c>
      <c r="Q21" s="292" t="e">
        <f>VLOOKUP(F21,tabellen!$C$51:$D$64,2,FALSE)</f>
        <v>#N/A</v>
      </c>
      <c r="R21" s="293">
        <f t="shared" si="4"/>
        <v>0</v>
      </c>
      <c r="S21" s="291">
        <f>IF(R21-(tabellen!$F$8*'wg lasten totaal'!H21)&lt;0,0,(R21-(tabellen!$F$8*'wg lasten totaal'!H21))*S$4)</f>
        <v>0</v>
      </c>
      <c r="T21" s="291">
        <f>IF(R21-(tabellen!$F$9*'wg lasten totaal'!H21)&lt;0,0,(R21-(tabellen!$F$9*'wg lasten totaal'!H21))*T$4)</f>
        <v>0</v>
      </c>
      <c r="U21" s="291">
        <f t="shared" si="5"/>
        <v>0</v>
      </c>
      <c r="V21" s="291">
        <f>IF($AJ21&gt;tabellen!H$11,tabellen!H$11*V$4,$AJ21*V$4)</f>
        <v>0</v>
      </c>
      <c r="W21" s="291">
        <f>IF($AJ21&gt;tabellen!H$13,tabellen!H$13*W$4,$AJ21*W$4)</f>
        <v>0</v>
      </c>
      <c r="X21" s="291">
        <f>IF($AJ21&gt;tabellen!H$14,tabellen!H$14*X$4,$AJ21*X$4)</f>
        <v>0</v>
      </c>
      <c r="Y21" s="291" t="str">
        <f t="shared" si="12"/>
        <v/>
      </c>
      <c r="Z21" s="291" t="str">
        <f t="shared" si="13"/>
        <v/>
      </c>
      <c r="AA21" s="293">
        <f t="shared" si="6"/>
        <v>0</v>
      </c>
      <c r="AB21" s="292" t="str">
        <f t="shared" si="14"/>
        <v/>
      </c>
      <c r="AC21" s="294"/>
      <c r="AD21" s="294"/>
      <c r="AE21" s="292">
        <f t="shared" si="15"/>
        <v>0</v>
      </c>
      <c r="AF21" s="293" t="str">
        <f t="shared" si="16"/>
        <v/>
      </c>
      <c r="AG21" s="289" t="str">
        <f t="shared" si="17"/>
        <v/>
      </c>
      <c r="AI21" s="142">
        <f>IF(R21-(tabellen!$F$8*'wg lasten totaal'!H$8)&lt;0,0,(R21-(tabellen!$F$8*'wg lasten totaal'!H$8))*AI$4)</f>
        <v>0</v>
      </c>
      <c r="AJ21" s="142">
        <f t="shared" si="7"/>
        <v>0</v>
      </c>
    </row>
    <row r="22" spans="2:36" ht="10.9" customHeight="1" x14ac:dyDescent="0.2">
      <c r="B22" s="298"/>
      <c r="C22" s="299"/>
      <c r="D22" s="300"/>
      <c r="E22" s="300"/>
      <c r="F22" s="301" t="str">
        <f t="shared" si="8"/>
        <v/>
      </c>
      <c r="G22" s="300"/>
      <c r="H22" s="302"/>
      <c r="I22" s="143" t="str">
        <f t="shared" si="0"/>
        <v/>
      </c>
      <c r="J22" s="290" t="str">
        <f t="shared" si="1"/>
        <v/>
      </c>
      <c r="K22" s="291" t="str">
        <f t="shared" si="9"/>
        <v/>
      </c>
      <c r="L22" s="291" t="str">
        <f t="shared" si="10"/>
        <v/>
      </c>
      <c r="M22" s="291">
        <f t="shared" si="2"/>
        <v>0</v>
      </c>
      <c r="N22" s="291">
        <f t="shared" si="3"/>
        <v>0</v>
      </c>
      <c r="O22" s="291">
        <f>IF(I22="OOP",IF(D22&lt;9,tabellen!$D$37,tabellen!$D$38),0)*H22</f>
        <v>0</v>
      </c>
      <c r="P22" s="291">
        <f t="shared" si="11"/>
        <v>0</v>
      </c>
      <c r="Q22" s="292" t="e">
        <f>VLOOKUP(F22,tabellen!$C$51:$D$64,2,FALSE)</f>
        <v>#N/A</v>
      </c>
      <c r="R22" s="293">
        <f t="shared" si="4"/>
        <v>0</v>
      </c>
      <c r="S22" s="291">
        <f>IF(R22-(tabellen!$F$8*'wg lasten totaal'!H22)&lt;0,0,(R22-(tabellen!$F$8*'wg lasten totaal'!H22))*S$4)</f>
        <v>0</v>
      </c>
      <c r="T22" s="291">
        <f>IF(R22-(tabellen!$F$9*'wg lasten totaal'!H22)&lt;0,0,(R22-(tabellen!$F$9*'wg lasten totaal'!H22))*T$4)</f>
        <v>0</v>
      </c>
      <c r="U22" s="291">
        <f t="shared" si="5"/>
        <v>0</v>
      </c>
      <c r="V22" s="291">
        <f>IF($AJ22&gt;tabellen!H$11,tabellen!H$11*V$4,$AJ22*V$4)</f>
        <v>0</v>
      </c>
      <c r="W22" s="291">
        <f>IF($AJ22&gt;tabellen!H$13,tabellen!H$13*W$4,$AJ22*W$4)</f>
        <v>0</v>
      </c>
      <c r="X22" s="291">
        <f>IF($AJ22&gt;tabellen!H$14,tabellen!H$14*X$4,$AJ22*X$4)</f>
        <v>0</v>
      </c>
      <c r="Y22" s="291" t="str">
        <f t="shared" si="12"/>
        <v/>
      </c>
      <c r="Z22" s="291" t="str">
        <f t="shared" si="13"/>
        <v/>
      </c>
      <c r="AA22" s="293">
        <f t="shared" si="6"/>
        <v>0</v>
      </c>
      <c r="AB22" s="292" t="str">
        <f t="shared" si="14"/>
        <v/>
      </c>
      <c r="AC22" s="294"/>
      <c r="AD22" s="294"/>
      <c r="AE22" s="292">
        <f t="shared" si="15"/>
        <v>0</v>
      </c>
      <c r="AF22" s="293" t="str">
        <f t="shared" si="16"/>
        <v/>
      </c>
      <c r="AG22" s="289" t="str">
        <f t="shared" si="17"/>
        <v/>
      </c>
      <c r="AI22" s="142">
        <f>IF(R22-(tabellen!$F$8*'wg lasten totaal'!H$8)&lt;0,0,(R22-(tabellen!$F$8*'wg lasten totaal'!H$8))*AI$4)</f>
        <v>0</v>
      </c>
      <c r="AJ22" s="142">
        <f t="shared" si="7"/>
        <v>0</v>
      </c>
    </row>
    <row r="23" spans="2:36" ht="10.9" customHeight="1" x14ac:dyDescent="0.2">
      <c r="B23" s="298"/>
      <c r="C23" s="299"/>
      <c r="D23" s="300"/>
      <c r="E23" s="300"/>
      <c r="F23" s="301" t="str">
        <f t="shared" si="8"/>
        <v/>
      </c>
      <c r="G23" s="300"/>
      <c r="H23" s="302"/>
      <c r="I23" s="143" t="str">
        <f t="shared" si="0"/>
        <v/>
      </c>
      <c r="J23" s="290" t="str">
        <f t="shared" si="1"/>
        <v/>
      </c>
      <c r="K23" s="291" t="str">
        <f t="shared" si="9"/>
        <v/>
      </c>
      <c r="L23" s="291" t="str">
        <f t="shared" si="10"/>
        <v/>
      </c>
      <c r="M23" s="291">
        <f t="shared" si="2"/>
        <v>0</v>
      </c>
      <c r="N23" s="291">
        <f t="shared" si="3"/>
        <v>0</v>
      </c>
      <c r="O23" s="291">
        <f>IF(I23="OOP",IF(D23&lt;9,tabellen!$D$37,tabellen!$D$38),0)*H23</f>
        <v>0</v>
      </c>
      <c r="P23" s="291">
        <f t="shared" si="11"/>
        <v>0</v>
      </c>
      <c r="Q23" s="292" t="e">
        <f>VLOOKUP(F23,tabellen!$C$51:$D$64,2,FALSE)</f>
        <v>#N/A</v>
      </c>
      <c r="R23" s="293">
        <f t="shared" si="4"/>
        <v>0</v>
      </c>
      <c r="S23" s="291">
        <f>IF(R23-(tabellen!$F$8*'wg lasten totaal'!H23)&lt;0,0,(R23-(tabellen!$F$8*'wg lasten totaal'!H23))*S$4)</f>
        <v>0</v>
      </c>
      <c r="T23" s="291">
        <f>IF(R23-(tabellen!$F$9*'wg lasten totaal'!H23)&lt;0,0,(R23-(tabellen!$F$9*'wg lasten totaal'!H23))*T$4)</f>
        <v>0</v>
      </c>
      <c r="U23" s="291">
        <f t="shared" si="5"/>
        <v>0</v>
      </c>
      <c r="V23" s="291">
        <f>IF($AJ23&gt;tabellen!H$11,tabellen!H$11*V$4,$AJ23*V$4)</f>
        <v>0</v>
      </c>
      <c r="W23" s="291">
        <f>IF($AJ23&gt;tabellen!H$13,tabellen!H$13*W$4,$AJ23*W$4)</f>
        <v>0</v>
      </c>
      <c r="X23" s="291">
        <f>IF($AJ23&gt;tabellen!H$14,tabellen!H$14*X$4,$AJ23*X$4)</f>
        <v>0</v>
      </c>
      <c r="Y23" s="291" t="str">
        <f t="shared" si="12"/>
        <v/>
      </c>
      <c r="Z23" s="291" t="str">
        <f t="shared" si="13"/>
        <v/>
      </c>
      <c r="AA23" s="293">
        <f t="shared" si="6"/>
        <v>0</v>
      </c>
      <c r="AB23" s="292" t="str">
        <f t="shared" si="14"/>
        <v/>
      </c>
      <c r="AC23" s="294"/>
      <c r="AD23" s="294"/>
      <c r="AE23" s="292">
        <f t="shared" si="15"/>
        <v>0</v>
      </c>
      <c r="AF23" s="293" t="str">
        <f t="shared" si="16"/>
        <v/>
      </c>
      <c r="AG23" s="289" t="str">
        <f t="shared" si="17"/>
        <v/>
      </c>
      <c r="AI23" s="142">
        <f>IF(R23-(tabellen!$F$8*'wg lasten totaal'!H$8)&lt;0,0,(R23-(tabellen!$F$8*'wg lasten totaal'!H$8))*AI$4)</f>
        <v>0</v>
      </c>
      <c r="AJ23" s="142">
        <f t="shared" si="7"/>
        <v>0</v>
      </c>
    </row>
    <row r="24" spans="2:36" ht="10.9" customHeight="1" x14ac:dyDescent="0.2">
      <c r="B24" s="298"/>
      <c r="C24" s="299"/>
      <c r="D24" s="300"/>
      <c r="E24" s="300"/>
      <c r="F24" s="301" t="str">
        <f t="shared" si="8"/>
        <v/>
      </c>
      <c r="G24" s="300"/>
      <c r="H24" s="302"/>
      <c r="I24" s="143" t="str">
        <f t="shared" si="0"/>
        <v/>
      </c>
      <c r="J24" s="290" t="str">
        <f t="shared" si="1"/>
        <v/>
      </c>
      <c r="K24" s="291" t="str">
        <f t="shared" si="9"/>
        <v/>
      </c>
      <c r="L24" s="291" t="str">
        <f t="shared" si="10"/>
        <v/>
      </c>
      <c r="M24" s="291">
        <f t="shared" si="2"/>
        <v>0</v>
      </c>
      <c r="N24" s="291">
        <f t="shared" si="3"/>
        <v>0</v>
      </c>
      <c r="O24" s="291">
        <f>IF(I24="OOP",IF(D24&lt;9,tabellen!$D$37,tabellen!$D$38),0)*H24</f>
        <v>0</v>
      </c>
      <c r="P24" s="291">
        <f t="shared" si="11"/>
        <v>0</v>
      </c>
      <c r="Q24" s="292" t="e">
        <f>VLOOKUP(F24,tabellen!$C$51:$D$64,2,FALSE)</f>
        <v>#N/A</v>
      </c>
      <c r="R24" s="293">
        <f t="shared" si="4"/>
        <v>0</v>
      </c>
      <c r="S24" s="291">
        <f>IF(R24-(tabellen!$F$8*'wg lasten totaal'!H24)&lt;0,0,(R24-(tabellen!$F$8*'wg lasten totaal'!H24))*S$4)</f>
        <v>0</v>
      </c>
      <c r="T24" s="291">
        <f>IF(R24-(tabellen!$F$9*'wg lasten totaal'!H24)&lt;0,0,(R24-(tabellen!$F$9*'wg lasten totaal'!H24))*T$4)</f>
        <v>0</v>
      </c>
      <c r="U24" s="291">
        <f t="shared" si="5"/>
        <v>0</v>
      </c>
      <c r="V24" s="291">
        <f>IF($AJ24&gt;tabellen!H$11,tabellen!H$11*V$4,$AJ24*V$4)</f>
        <v>0</v>
      </c>
      <c r="W24" s="291">
        <f>IF($AJ24&gt;tabellen!H$13,tabellen!H$13*W$4,$AJ24*W$4)</f>
        <v>0</v>
      </c>
      <c r="X24" s="291">
        <f>IF($AJ24&gt;tabellen!H$14,tabellen!H$14*X$4,$AJ24*X$4)</f>
        <v>0</v>
      </c>
      <c r="Y24" s="291" t="str">
        <f t="shared" si="12"/>
        <v/>
      </c>
      <c r="Z24" s="291" t="str">
        <f t="shared" si="13"/>
        <v/>
      </c>
      <c r="AA24" s="293">
        <f t="shared" si="6"/>
        <v>0</v>
      </c>
      <c r="AB24" s="292" t="str">
        <f t="shared" si="14"/>
        <v/>
      </c>
      <c r="AC24" s="294"/>
      <c r="AD24" s="294"/>
      <c r="AE24" s="292">
        <f t="shared" si="15"/>
        <v>0</v>
      </c>
      <c r="AF24" s="293" t="str">
        <f t="shared" si="16"/>
        <v/>
      </c>
      <c r="AG24" s="289" t="str">
        <f t="shared" si="17"/>
        <v/>
      </c>
      <c r="AI24" s="142">
        <f>IF(R24-(tabellen!$F$8*'wg lasten totaal'!H$8)&lt;0,0,(R24-(tabellen!$F$8*'wg lasten totaal'!H$8))*AI$4)</f>
        <v>0</v>
      </c>
      <c r="AJ24" s="142">
        <f t="shared" si="7"/>
        <v>0</v>
      </c>
    </row>
    <row r="25" spans="2:36" ht="10.9" customHeight="1" x14ac:dyDescent="0.2">
      <c r="B25" s="298"/>
      <c r="C25" s="299"/>
      <c r="D25" s="300"/>
      <c r="E25" s="300"/>
      <c r="F25" s="301" t="str">
        <f t="shared" si="8"/>
        <v/>
      </c>
      <c r="G25" s="300"/>
      <c r="H25" s="302"/>
      <c r="I25" s="143" t="str">
        <f t="shared" si="0"/>
        <v/>
      </c>
      <c r="J25" s="290" t="str">
        <f t="shared" si="1"/>
        <v/>
      </c>
      <c r="K25" s="291" t="str">
        <f t="shared" si="9"/>
        <v/>
      </c>
      <c r="L25" s="291" t="str">
        <f t="shared" si="10"/>
        <v/>
      </c>
      <c r="M25" s="291">
        <f t="shared" si="2"/>
        <v>0</v>
      </c>
      <c r="N25" s="291">
        <f t="shared" si="3"/>
        <v>0</v>
      </c>
      <c r="O25" s="291">
        <f>IF(I25="OOP",IF(D25&lt;9,tabellen!$D$37,tabellen!$D$38),0)*H25</f>
        <v>0</v>
      </c>
      <c r="P25" s="291">
        <f t="shared" si="11"/>
        <v>0</v>
      </c>
      <c r="Q25" s="292" t="e">
        <f>VLOOKUP(F25,tabellen!$C$51:$D$64,2,FALSE)</f>
        <v>#N/A</v>
      </c>
      <c r="R25" s="293">
        <f t="shared" si="4"/>
        <v>0</v>
      </c>
      <c r="S25" s="291">
        <f>IF(R25-(tabellen!$F$8*'wg lasten totaal'!H25)&lt;0,0,(R25-(tabellen!$F$8*'wg lasten totaal'!H25))*S$4)</f>
        <v>0</v>
      </c>
      <c r="T25" s="291">
        <f>IF(R25-(tabellen!$F$9*'wg lasten totaal'!H25)&lt;0,0,(R25-(tabellen!$F$9*'wg lasten totaal'!H25))*T$4)</f>
        <v>0</v>
      </c>
      <c r="U25" s="291">
        <f t="shared" si="5"/>
        <v>0</v>
      </c>
      <c r="V25" s="291">
        <f>IF($AJ25&gt;tabellen!H$11,tabellen!H$11*V$4,$AJ25*V$4)</f>
        <v>0</v>
      </c>
      <c r="W25" s="291">
        <f>IF($AJ25&gt;tabellen!H$13,tabellen!H$13*W$4,$AJ25*W$4)</f>
        <v>0</v>
      </c>
      <c r="X25" s="291">
        <f>IF($AJ25&gt;tabellen!H$14,tabellen!H$14*X$4,$AJ25*X$4)</f>
        <v>0</v>
      </c>
      <c r="Y25" s="291" t="str">
        <f t="shared" si="12"/>
        <v/>
      </c>
      <c r="Z25" s="291" t="str">
        <f t="shared" si="13"/>
        <v/>
      </c>
      <c r="AA25" s="293">
        <f t="shared" si="6"/>
        <v>0</v>
      </c>
      <c r="AB25" s="292" t="str">
        <f t="shared" si="14"/>
        <v/>
      </c>
      <c r="AC25" s="294"/>
      <c r="AD25" s="294"/>
      <c r="AE25" s="292">
        <f t="shared" si="15"/>
        <v>0</v>
      </c>
      <c r="AF25" s="293" t="str">
        <f t="shared" si="16"/>
        <v/>
      </c>
      <c r="AG25" s="289" t="str">
        <f t="shared" si="17"/>
        <v/>
      </c>
      <c r="AI25" s="142">
        <f>IF(R25-(tabellen!$F$8*'wg lasten totaal'!H$8)&lt;0,0,(R25-(tabellen!$F$8*'wg lasten totaal'!H$8))*AI$4)</f>
        <v>0</v>
      </c>
      <c r="AJ25" s="142">
        <f t="shared" si="7"/>
        <v>0</v>
      </c>
    </row>
    <row r="26" spans="2:36" ht="10.9" customHeight="1" x14ac:dyDescent="0.2">
      <c r="B26" s="298"/>
      <c r="C26" s="299"/>
      <c r="D26" s="300"/>
      <c r="E26" s="300"/>
      <c r="F26" s="301" t="str">
        <f t="shared" si="8"/>
        <v/>
      </c>
      <c r="G26" s="300"/>
      <c r="H26" s="302"/>
      <c r="I26" s="143" t="str">
        <f t="shared" si="0"/>
        <v/>
      </c>
      <c r="J26" s="290" t="str">
        <f t="shared" si="1"/>
        <v/>
      </c>
      <c r="K26" s="291" t="str">
        <f t="shared" si="9"/>
        <v/>
      </c>
      <c r="L26" s="291" t="str">
        <f t="shared" si="10"/>
        <v/>
      </c>
      <c r="M26" s="291">
        <f t="shared" si="2"/>
        <v>0</v>
      </c>
      <c r="N26" s="291">
        <f t="shared" si="3"/>
        <v>0</v>
      </c>
      <c r="O26" s="291">
        <f>IF(I26="OOP",IF(D26&lt;9,tabellen!$D$37,tabellen!$D$38),0)*H26</f>
        <v>0</v>
      </c>
      <c r="P26" s="291">
        <f t="shared" si="11"/>
        <v>0</v>
      </c>
      <c r="Q26" s="292" t="e">
        <f>VLOOKUP(F26,tabellen!$C$51:$D$64,2,FALSE)</f>
        <v>#N/A</v>
      </c>
      <c r="R26" s="293">
        <f t="shared" si="4"/>
        <v>0</v>
      </c>
      <c r="S26" s="291">
        <f>IF(R26-(tabellen!$F$8*'wg lasten totaal'!H26)&lt;0,0,(R26-(tabellen!$F$8*'wg lasten totaal'!H26))*S$4)</f>
        <v>0</v>
      </c>
      <c r="T26" s="291">
        <f>IF(R26-(tabellen!$F$9*'wg lasten totaal'!H26)&lt;0,0,(R26-(tabellen!$F$9*'wg lasten totaal'!H26))*T$4)</f>
        <v>0</v>
      </c>
      <c r="U26" s="291">
        <f t="shared" si="5"/>
        <v>0</v>
      </c>
      <c r="V26" s="291">
        <f>IF($AJ26&gt;tabellen!H$11,tabellen!H$11*V$4,$AJ26*V$4)</f>
        <v>0</v>
      </c>
      <c r="W26" s="291">
        <f>IF($AJ26&gt;tabellen!H$13,tabellen!H$13*W$4,$AJ26*W$4)</f>
        <v>0</v>
      </c>
      <c r="X26" s="291">
        <f>IF($AJ26&gt;tabellen!H$14,tabellen!H$14*X$4,$AJ26*X$4)</f>
        <v>0</v>
      </c>
      <c r="Y26" s="291" t="str">
        <f t="shared" si="12"/>
        <v/>
      </c>
      <c r="Z26" s="291" t="str">
        <f t="shared" si="13"/>
        <v/>
      </c>
      <c r="AA26" s="293">
        <f t="shared" si="6"/>
        <v>0</v>
      </c>
      <c r="AB26" s="292" t="str">
        <f t="shared" si="14"/>
        <v/>
      </c>
      <c r="AC26" s="294"/>
      <c r="AD26" s="294"/>
      <c r="AE26" s="292">
        <f t="shared" si="15"/>
        <v>0</v>
      </c>
      <c r="AF26" s="293" t="str">
        <f t="shared" si="16"/>
        <v/>
      </c>
      <c r="AG26" s="289" t="str">
        <f t="shared" si="17"/>
        <v/>
      </c>
      <c r="AI26" s="142">
        <f>IF(R26-(tabellen!$F$8*'wg lasten totaal'!H$8)&lt;0,0,(R26-(tabellen!$F$8*'wg lasten totaal'!H$8))*AI$4)</f>
        <v>0</v>
      </c>
      <c r="AJ26" s="142">
        <f t="shared" si="7"/>
        <v>0</v>
      </c>
    </row>
    <row r="27" spans="2:36" ht="10.9" customHeight="1" x14ac:dyDescent="0.2">
      <c r="B27" s="298"/>
      <c r="C27" s="299"/>
      <c r="D27" s="300"/>
      <c r="E27" s="300"/>
      <c r="F27" s="301" t="str">
        <f t="shared" si="8"/>
        <v/>
      </c>
      <c r="G27" s="300"/>
      <c r="H27" s="302"/>
      <c r="I27" s="143" t="str">
        <f t="shared" si="0"/>
        <v/>
      </c>
      <c r="J27" s="290" t="str">
        <f t="shared" si="1"/>
        <v/>
      </c>
      <c r="K27" s="291" t="str">
        <f t="shared" si="9"/>
        <v/>
      </c>
      <c r="L27" s="291" t="str">
        <f t="shared" si="10"/>
        <v/>
      </c>
      <c r="M27" s="291">
        <f t="shared" si="2"/>
        <v>0</v>
      </c>
      <c r="N27" s="291">
        <f t="shared" si="3"/>
        <v>0</v>
      </c>
      <c r="O27" s="291">
        <f>IF(I27="OOP",IF(D27&lt;9,tabellen!$D$37,tabellen!$D$38),0)*H27</f>
        <v>0</v>
      </c>
      <c r="P27" s="291">
        <f t="shared" si="11"/>
        <v>0</v>
      </c>
      <c r="Q27" s="292" t="e">
        <f>VLOOKUP(F27,tabellen!$C$51:$D$64,2,FALSE)</f>
        <v>#N/A</v>
      </c>
      <c r="R27" s="293">
        <f t="shared" si="4"/>
        <v>0</v>
      </c>
      <c r="S27" s="291">
        <f>IF(R27-(tabellen!$F$8*'wg lasten totaal'!H27)&lt;0,0,(R27-(tabellen!$F$8*'wg lasten totaal'!H27))*S$4)</f>
        <v>0</v>
      </c>
      <c r="T27" s="291">
        <f>IF(R27-(tabellen!$F$9*'wg lasten totaal'!H27)&lt;0,0,(R27-(tabellen!$F$9*'wg lasten totaal'!H27))*T$4)</f>
        <v>0</v>
      </c>
      <c r="U27" s="291">
        <f t="shared" si="5"/>
        <v>0</v>
      </c>
      <c r="V27" s="291">
        <f>IF($AJ27&gt;tabellen!H$11,tabellen!H$11*V$4,$AJ27*V$4)</f>
        <v>0</v>
      </c>
      <c r="W27" s="291">
        <f>IF($AJ27&gt;tabellen!H$13,tabellen!H$13*W$4,$AJ27*W$4)</f>
        <v>0</v>
      </c>
      <c r="X27" s="291">
        <f>IF($AJ27&gt;tabellen!H$14,tabellen!H$14*X$4,$AJ27*X$4)</f>
        <v>0</v>
      </c>
      <c r="Y27" s="291" t="str">
        <f t="shared" si="12"/>
        <v/>
      </c>
      <c r="Z27" s="291" t="str">
        <f t="shared" si="13"/>
        <v/>
      </c>
      <c r="AA27" s="293">
        <f t="shared" si="6"/>
        <v>0</v>
      </c>
      <c r="AB27" s="292" t="str">
        <f t="shared" si="14"/>
        <v/>
      </c>
      <c r="AC27" s="294"/>
      <c r="AD27" s="294"/>
      <c r="AE27" s="292">
        <f t="shared" si="15"/>
        <v>0</v>
      </c>
      <c r="AF27" s="293" t="str">
        <f t="shared" si="16"/>
        <v/>
      </c>
      <c r="AG27" s="289" t="str">
        <f t="shared" si="17"/>
        <v/>
      </c>
      <c r="AI27" s="142">
        <f>IF(R27-(tabellen!$F$8*'wg lasten totaal'!H$8)&lt;0,0,(R27-(tabellen!$F$8*'wg lasten totaal'!H$8))*AI$4)</f>
        <v>0</v>
      </c>
      <c r="AJ27" s="142">
        <f t="shared" si="7"/>
        <v>0</v>
      </c>
    </row>
    <row r="28" spans="2:36" ht="10.9" customHeight="1" x14ac:dyDescent="0.2">
      <c r="B28" s="298"/>
      <c r="C28" s="299"/>
      <c r="D28" s="300"/>
      <c r="E28" s="300"/>
      <c r="F28" s="301" t="str">
        <f t="shared" si="8"/>
        <v/>
      </c>
      <c r="G28" s="300"/>
      <c r="H28" s="302"/>
      <c r="I28" s="143" t="str">
        <f t="shared" si="0"/>
        <v/>
      </c>
      <c r="J28" s="290" t="str">
        <f t="shared" si="1"/>
        <v/>
      </c>
      <c r="K28" s="291" t="str">
        <f t="shared" si="9"/>
        <v/>
      </c>
      <c r="L28" s="291" t="str">
        <f t="shared" si="10"/>
        <v/>
      </c>
      <c r="M28" s="291">
        <f t="shared" si="2"/>
        <v>0</v>
      </c>
      <c r="N28" s="291">
        <f t="shared" si="3"/>
        <v>0</v>
      </c>
      <c r="O28" s="291">
        <f>IF(I28="OOP",IF(D28&lt;9,tabellen!$D$37,tabellen!$D$38),0)*H28</f>
        <v>0</v>
      </c>
      <c r="P28" s="291">
        <f t="shared" si="11"/>
        <v>0</v>
      </c>
      <c r="Q28" s="292" t="e">
        <f>VLOOKUP(F28,tabellen!$C$51:$D$64,2,FALSE)</f>
        <v>#N/A</v>
      </c>
      <c r="R28" s="293">
        <f t="shared" si="4"/>
        <v>0</v>
      </c>
      <c r="S28" s="291">
        <f>IF(R28-(tabellen!$F$8*'wg lasten totaal'!H28)&lt;0,0,(R28-(tabellen!$F$8*'wg lasten totaal'!H28))*S$4)</f>
        <v>0</v>
      </c>
      <c r="T28" s="291">
        <f>IF(R28-(tabellen!$F$9*'wg lasten totaal'!H28)&lt;0,0,(R28-(tabellen!$F$9*'wg lasten totaal'!H28))*T$4)</f>
        <v>0</v>
      </c>
      <c r="U28" s="291">
        <f t="shared" si="5"/>
        <v>0</v>
      </c>
      <c r="V28" s="291">
        <f>IF($AJ28&gt;tabellen!H$11,tabellen!H$11*V$4,$AJ28*V$4)</f>
        <v>0</v>
      </c>
      <c r="W28" s="291">
        <f>IF($AJ28&gt;tabellen!H$13,tabellen!H$13*W$4,$AJ28*W$4)</f>
        <v>0</v>
      </c>
      <c r="X28" s="291">
        <f>IF($AJ28&gt;tabellen!H$14,tabellen!H$14*X$4,$AJ28*X$4)</f>
        <v>0</v>
      </c>
      <c r="Y28" s="291" t="str">
        <f t="shared" si="12"/>
        <v/>
      </c>
      <c r="Z28" s="291" t="str">
        <f t="shared" si="13"/>
        <v/>
      </c>
      <c r="AA28" s="293">
        <f t="shared" si="6"/>
        <v>0</v>
      </c>
      <c r="AB28" s="292" t="str">
        <f t="shared" si="14"/>
        <v/>
      </c>
      <c r="AC28" s="294"/>
      <c r="AD28" s="294"/>
      <c r="AE28" s="292">
        <f t="shared" si="15"/>
        <v>0</v>
      </c>
      <c r="AF28" s="293" t="str">
        <f t="shared" si="16"/>
        <v/>
      </c>
      <c r="AG28" s="289" t="str">
        <f t="shared" si="17"/>
        <v/>
      </c>
      <c r="AI28" s="142">
        <f>IF(R28-(tabellen!$F$8*'wg lasten totaal'!H$8)&lt;0,0,(R28-(tabellen!$F$8*'wg lasten totaal'!H$8))*AI$4)</f>
        <v>0</v>
      </c>
      <c r="AJ28" s="142">
        <f t="shared" si="7"/>
        <v>0</v>
      </c>
    </row>
    <row r="29" spans="2:36" ht="10.9" customHeight="1" x14ac:dyDescent="0.2">
      <c r="B29" s="298"/>
      <c r="C29" s="299"/>
      <c r="D29" s="300"/>
      <c r="E29" s="300"/>
      <c r="F29" s="301" t="str">
        <f t="shared" si="8"/>
        <v/>
      </c>
      <c r="G29" s="300"/>
      <c r="H29" s="302"/>
      <c r="I29" s="143" t="str">
        <f t="shared" si="0"/>
        <v/>
      </c>
      <c r="J29" s="290" t="str">
        <f t="shared" si="1"/>
        <v/>
      </c>
      <c r="K29" s="291" t="str">
        <f t="shared" si="9"/>
        <v/>
      </c>
      <c r="L29" s="291" t="str">
        <f t="shared" si="10"/>
        <v/>
      </c>
      <c r="M29" s="291">
        <f t="shared" si="2"/>
        <v>0</v>
      </c>
      <c r="N29" s="291">
        <f t="shared" si="3"/>
        <v>0</v>
      </c>
      <c r="O29" s="291">
        <f>IF(I29="OOP",IF(D29&lt;9,tabellen!$D$37,tabellen!$D$38),0)*H29</f>
        <v>0</v>
      </c>
      <c r="P29" s="291">
        <f t="shared" si="11"/>
        <v>0</v>
      </c>
      <c r="Q29" s="292" t="e">
        <f>VLOOKUP(F29,tabellen!$C$51:$D$64,2,FALSE)</f>
        <v>#N/A</v>
      </c>
      <c r="R29" s="293">
        <f t="shared" si="4"/>
        <v>0</v>
      </c>
      <c r="S29" s="291">
        <f>IF(R29-(tabellen!$F$8*'wg lasten totaal'!H29)&lt;0,0,(R29-(tabellen!$F$8*'wg lasten totaal'!H29))*S$4)</f>
        <v>0</v>
      </c>
      <c r="T29" s="291">
        <f>IF(R29-(tabellen!$F$9*'wg lasten totaal'!H29)&lt;0,0,(R29-(tabellen!$F$9*'wg lasten totaal'!H29))*T$4)</f>
        <v>0</v>
      </c>
      <c r="U29" s="291">
        <f t="shared" si="5"/>
        <v>0</v>
      </c>
      <c r="V29" s="291">
        <f>IF($AJ29&gt;tabellen!H$11,tabellen!H$11*V$4,$AJ29*V$4)</f>
        <v>0</v>
      </c>
      <c r="W29" s="291">
        <f>IF($AJ29&gt;tabellen!H$13,tabellen!H$13*W$4,$AJ29*W$4)</f>
        <v>0</v>
      </c>
      <c r="X29" s="291">
        <f>IF($AJ29&gt;tabellen!H$14,tabellen!H$14*X$4,$AJ29*X$4)</f>
        <v>0</v>
      </c>
      <c r="Y29" s="291" t="str">
        <f t="shared" si="12"/>
        <v/>
      </c>
      <c r="Z29" s="291" t="str">
        <f t="shared" si="13"/>
        <v/>
      </c>
      <c r="AA29" s="293">
        <f t="shared" si="6"/>
        <v>0</v>
      </c>
      <c r="AB29" s="292" t="str">
        <f t="shared" si="14"/>
        <v/>
      </c>
      <c r="AC29" s="294"/>
      <c r="AD29" s="294"/>
      <c r="AE29" s="292">
        <f t="shared" si="15"/>
        <v>0</v>
      </c>
      <c r="AF29" s="293" t="str">
        <f t="shared" si="16"/>
        <v/>
      </c>
      <c r="AG29" s="289" t="str">
        <f t="shared" si="17"/>
        <v/>
      </c>
      <c r="AI29" s="142">
        <f>IF(R29-(tabellen!$F$8*'wg lasten totaal'!H$8)&lt;0,0,(R29-(tabellen!$F$8*'wg lasten totaal'!H$8))*AI$4)</f>
        <v>0</v>
      </c>
      <c r="AJ29" s="142">
        <f t="shared" si="7"/>
        <v>0</v>
      </c>
    </row>
    <row r="30" spans="2:36" ht="10.9" customHeight="1" x14ac:dyDescent="0.2">
      <c r="B30" s="298"/>
      <c r="C30" s="299"/>
      <c r="D30" s="300"/>
      <c r="E30" s="300"/>
      <c r="F30" s="301" t="str">
        <f t="shared" si="8"/>
        <v/>
      </c>
      <c r="G30" s="300"/>
      <c r="H30" s="302"/>
      <c r="I30" s="143" t="str">
        <f t="shared" si="0"/>
        <v/>
      </c>
      <c r="J30" s="290" t="str">
        <f t="shared" si="1"/>
        <v/>
      </c>
      <c r="K30" s="291" t="str">
        <f t="shared" si="9"/>
        <v/>
      </c>
      <c r="L30" s="291" t="str">
        <f t="shared" si="10"/>
        <v/>
      </c>
      <c r="M30" s="291">
        <f t="shared" si="2"/>
        <v>0</v>
      </c>
      <c r="N30" s="291">
        <f t="shared" si="3"/>
        <v>0</v>
      </c>
      <c r="O30" s="291">
        <f>IF(I30="OOP",IF(D30&lt;9,tabellen!$D$37,tabellen!$D$38),0)*H30</f>
        <v>0</v>
      </c>
      <c r="P30" s="291">
        <f t="shared" si="11"/>
        <v>0</v>
      </c>
      <c r="Q30" s="292" t="e">
        <f>VLOOKUP(F30,tabellen!$C$51:$D$64,2,FALSE)</f>
        <v>#N/A</v>
      </c>
      <c r="R30" s="293">
        <f t="shared" si="4"/>
        <v>0</v>
      </c>
      <c r="S30" s="291">
        <f>IF(R30-(tabellen!$F$8*'wg lasten totaal'!H30)&lt;0,0,(R30-(tabellen!$F$8*'wg lasten totaal'!H30))*S$4)</f>
        <v>0</v>
      </c>
      <c r="T30" s="291">
        <f>IF(R30-(tabellen!$F$9*'wg lasten totaal'!H30)&lt;0,0,(R30-(tabellen!$F$9*'wg lasten totaal'!H30))*T$4)</f>
        <v>0</v>
      </c>
      <c r="U30" s="291">
        <f t="shared" si="5"/>
        <v>0</v>
      </c>
      <c r="V30" s="291">
        <f>IF($AJ30&gt;tabellen!H$11,tabellen!H$11*V$4,$AJ30*V$4)</f>
        <v>0</v>
      </c>
      <c r="W30" s="291">
        <f>IF($AJ30&gt;tabellen!H$13,tabellen!H$13*W$4,$AJ30*W$4)</f>
        <v>0</v>
      </c>
      <c r="X30" s="291">
        <f>IF($AJ30&gt;tabellen!H$14,tabellen!H$14*X$4,$AJ30*X$4)</f>
        <v>0</v>
      </c>
      <c r="Y30" s="291" t="str">
        <f t="shared" si="12"/>
        <v/>
      </c>
      <c r="Z30" s="291" t="str">
        <f t="shared" si="13"/>
        <v/>
      </c>
      <c r="AA30" s="293">
        <f t="shared" si="6"/>
        <v>0</v>
      </c>
      <c r="AB30" s="292" t="str">
        <f t="shared" si="14"/>
        <v/>
      </c>
      <c r="AC30" s="294"/>
      <c r="AD30" s="294"/>
      <c r="AE30" s="292">
        <f t="shared" si="15"/>
        <v>0</v>
      </c>
      <c r="AF30" s="293" t="str">
        <f t="shared" si="16"/>
        <v/>
      </c>
      <c r="AG30" s="289" t="str">
        <f t="shared" si="17"/>
        <v/>
      </c>
      <c r="AI30" s="142">
        <f>IF(R30-(tabellen!$F$8*'wg lasten totaal'!H$8)&lt;0,0,(R30-(tabellen!$F$8*'wg lasten totaal'!H$8))*AI$4)</f>
        <v>0</v>
      </c>
      <c r="AJ30" s="142">
        <f t="shared" si="7"/>
        <v>0</v>
      </c>
    </row>
    <row r="31" spans="2:36" ht="10.9" customHeight="1" x14ac:dyDescent="0.2">
      <c r="B31" s="298"/>
      <c r="C31" s="299"/>
      <c r="D31" s="300"/>
      <c r="E31" s="300"/>
      <c r="F31" s="301" t="str">
        <f t="shared" si="8"/>
        <v/>
      </c>
      <c r="G31" s="300"/>
      <c r="H31" s="302"/>
      <c r="I31" s="143" t="str">
        <f t="shared" si="0"/>
        <v/>
      </c>
      <c r="J31" s="290" t="str">
        <f t="shared" si="1"/>
        <v/>
      </c>
      <c r="K31" s="291" t="str">
        <f t="shared" si="9"/>
        <v/>
      </c>
      <c r="L31" s="291" t="str">
        <f t="shared" si="10"/>
        <v/>
      </c>
      <c r="M31" s="291">
        <f t="shared" si="2"/>
        <v>0</v>
      </c>
      <c r="N31" s="291">
        <f t="shared" si="3"/>
        <v>0</v>
      </c>
      <c r="O31" s="291">
        <f>IF(I31="OOP",IF(D31&lt;9,tabellen!$D$37,tabellen!$D$38),0)*H31</f>
        <v>0</v>
      </c>
      <c r="P31" s="291">
        <f t="shared" si="11"/>
        <v>0</v>
      </c>
      <c r="Q31" s="292" t="e">
        <f>VLOOKUP(F31,tabellen!$C$51:$D$64,2,FALSE)</f>
        <v>#N/A</v>
      </c>
      <c r="R31" s="293">
        <f t="shared" si="4"/>
        <v>0</v>
      </c>
      <c r="S31" s="291">
        <f>IF(R31-(tabellen!$F$8*'wg lasten totaal'!H31)&lt;0,0,(R31-(tabellen!$F$8*'wg lasten totaal'!H31))*S$4)</f>
        <v>0</v>
      </c>
      <c r="T31" s="291">
        <f>IF(R31-(tabellen!$F$9*'wg lasten totaal'!H31)&lt;0,0,(R31-(tabellen!$F$9*'wg lasten totaal'!H31))*T$4)</f>
        <v>0</v>
      </c>
      <c r="U31" s="291">
        <f t="shared" si="5"/>
        <v>0</v>
      </c>
      <c r="V31" s="291">
        <f>IF($AJ31&gt;tabellen!H$11,tabellen!H$11*V$4,$AJ31*V$4)</f>
        <v>0</v>
      </c>
      <c r="W31" s="291">
        <f>IF($AJ31&gt;tabellen!H$13,tabellen!H$13*W$4,$AJ31*W$4)</f>
        <v>0</v>
      </c>
      <c r="X31" s="291">
        <f>IF($AJ31&gt;tabellen!H$14,tabellen!H$14*X$4,$AJ31*X$4)</f>
        <v>0</v>
      </c>
      <c r="Y31" s="291" t="str">
        <f t="shared" si="12"/>
        <v/>
      </c>
      <c r="Z31" s="291" t="str">
        <f t="shared" si="13"/>
        <v/>
      </c>
      <c r="AA31" s="293">
        <f t="shared" si="6"/>
        <v>0</v>
      </c>
      <c r="AB31" s="292" t="str">
        <f t="shared" si="14"/>
        <v/>
      </c>
      <c r="AC31" s="294"/>
      <c r="AD31" s="294"/>
      <c r="AE31" s="292">
        <f t="shared" si="15"/>
        <v>0</v>
      </c>
      <c r="AF31" s="293" t="str">
        <f t="shared" si="16"/>
        <v/>
      </c>
      <c r="AG31" s="289" t="str">
        <f t="shared" si="17"/>
        <v/>
      </c>
      <c r="AI31" s="142">
        <f>IF(R31-(tabellen!$F$8*'wg lasten totaal'!H$8)&lt;0,0,(R31-(tabellen!$F$8*'wg lasten totaal'!H$8))*AI$4)</f>
        <v>0</v>
      </c>
      <c r="AJ31" s="142">
        <f t="shared" si="7"/>
        <v>0</v>
      </c>
    </row>
    <row r="32" spans="2:36" ht="10.9" customHeight="1" x14ac:dyDescent="0.2">
      <c r="B32" s="298"/>
      <c r="C32" s="299"/>
      <c r="D32" s="300"/>
      <c r="E32" s="300"/>
      <c r="F32" s="301" t="str">
        <f t="shared" si="8"/>
        <v/>
      </c>
      <c r="G32" s="300"/>
      <c r="H32" s="302"/>
      <c r="I32" s="143" t="str">
        <f t="shared" si="0"/>
        <v/>
      </c>
      <c r="J32" s="290" t="str">
        <f t="shared" si="1"/>
        <v/>
      </c>
      <c r="K32" s="291" t="str">
        <f t="shared" si="9"/>
        <v/>
      </c>
      <c r="L32" s="291" t="str">
        <f t="shared" si="10"/>
        <v/>
      </c>
      <c r="M32" s="291">
        <f t="shared" si="2"/>
        <v>0</v>
      </c>
      <c r="N32" s="291">
        <f t="shared" si="3"/>
        <v>0</v>
      </c>
      <c r="O32" s="291">
        <f>IF(I32="OOP",IF(D32&lt;9,tabellen!$D$37,tabellen!$D$38),0)*H32</f>
        <v>0</v>
      </c>
      <c r="P32" s="291">
        <f t="shared" si="11"/>
        <v>0</v>
      </c>
      <c r="Q32" s="292" t="e">
        <f>VLOOKUP(F32,tabellen!$C$51:$D$64,2,FALSE)</f>
        <v>#N/A</v>
      </c>
      <c r="R32" s="293">
        <f t="shared" si="4"/>
        <v>0</v>
      </c>
      <c r="S32" s="291">
        <f>IF(R32-(tabellen!$F$8*'wg lasten totaal'!H32)&lt;0,0,(R32-(tabellen!$F$8*'wg lasten totaal'!H32))*S$4)</f>
        <v>0</v>
      </c>
      <c r="T32" s="291">
        <f>IF(R32-(tabellen!$F$9*'wg lasten totaal'!H32)&lt;0,0,(R32-(tabellen!$F$9*'wg lasten totaal'!H32))*T$4)</f>
        <v>0</v>
      </c>
      <c r="U32" s="291">
        <f t="shared" si="5"/>
        <v>0</v>
      </c>
      <c r="V32" s="291">
        <f>IF($AJ32&gt;tabellen!H$11,tabellen!H$11*V$4,$AJ32*V$4)</f>
        <v>0</v>
      </c>
      <c r="W32" s="291">
        <f>IF($AJ32&gt;tabellen!H$13,tabellen!H$13*W$4,$AJ32*W$4)</f>
        <v>0</v>
      </c>
      <c r="X32" s="291">
        <f>IF($AJ32&gt;tabellen!H$14,tabellen!H$14*X$4,$AJ32*X$4)</f>
        <v>0</v>
      </c>
      <c r="Y32" s="291" t="str">
        <f t="shared" si="12"/>
        <v/>
      </c>
      <c r="Z32" s="291" t="str">
        <f t="shared" si="13"/>
        <v/>
      </c>
      <c r="AA32" s="293">
        <f t="shared" si="6"/>
        <v>0</v>
      </c>
      <c r="AB32" s="292" t="str">
        <f t="shared" si="14"/>
        <v/>
      </c>
      <c r="AC32" s="294"/>
      <c r="AD32" s="294"/>
      <c r="AE32" s="292">
        <f t="shared" si="15"/>
        <v>0</v>
      </c>
      <c r="AF32" s="293" t="str">
        <f t="shared" si="16"/>
        <v/>
      </c>
      <c r="AG32" s="289" t="str">
        <f t="shared" si="17"/>
        <v/>
      </c>
      <c r="AI32" s="142">
        <f>IF(R32-(tabellen!$F$8*'wg lasten totaal'!H$8)&lt;0,0,(R32-(tabellen!$F$8*'wg lasten totaal'!H$8))*AI$4)</f>
        <v>0</v>
      </c>
      <c r="AJ32" s="142">
        <f t="shared" si="7"/>
        <v>0</v>
      </c>
    </row>
    <row r="33" spans="2:36" ht="10.9" customHeight="1" x14ac:dyDescent="0.2">
      <c r="B33" s="298"/>
      <c r="C33" s="299"/>
      <c r="D33" s="300"/>
      <c r="E33" s="300"/>
      <c r="F33" s="301" t="str">
        <f t="shared" si="8"/>
        <v/>
      </c>
      <c r="G33" s="300"/>
      <c r="H33" s="302"/>
      <c r="I33" s="143" t="str">
        <f t="shared" si="0"/>
        <v/>
      </c>
      <c r="J33" s="290" t="str">
        <f t="shared" si="1"/>
        <v/>
      </c>
      <c r="K33" s="291" t="str">
        <f t="shared" si="9"/>
        <v/>
      </c>
      <c r="L33" s="291" t="str">
        <f t="shared" si="10"/>
        <v/>
      </c>
      <c r="M33" s="291">
        <f t="shared" si="2"/>
        <v>0</v>
      </c>
      <c r="N33" s="291">
        <f t="shared" si="3"/>
        <v>0</v>
      </c>
      <c r="O33" s="291">
        <f>IF(I33="OOP",IF(D33&lt;9,tabellen!$D$37,tabellen!$D$38),0)*H33</f>
        <v>0</v>
      </c>
      <c r="P33" s="291">
        <f t="shared" si="11"/>
        <v>0</v>
      </c>
      <c r="Q33" s="292" t="e">
        <f>VLOOKUP(F33,tabellen!$C$51:$D$64,2,FALSE)</f>
        <v>#N/A</v>
      </c>
      <c r="R33" s="293">
        <f t="shared" si="4"/>
        <v>0</v>
      </c>
      <c r="S33" s="291">
        <f>IF(R33-(tabellen!$F$8*'wg lasten totaal'!H33)&lt;0,0,(R33-(tabellen!$F$8*'wg lasten totaal'!H33))*S$4)</f>
        <v>0</v>
      </c>
      <c r="T33" s="291">
        <f>IF(R33-(tabellen!$F$9*'wg lasten totaal'!H33)&lt;0,0,(R33-(tabellen!$F$9*'wg lasten totaal'!H33))*T$4)</f>
        <v>0</v>
      </c>
      <c r="U33" s="291">
        <f t="shared" si="5"/>
        <v>0</v>
      </c>
      <c r="V33" s="291">
        <f>IF($AJ33&gt;tabellen!H$11,tabellen!H$11*V$4,$AJ33*V$4)</f>
        <v>0</v>
      </c>
      <c r="W33" s="291">
        <f>IF($AJ33&gt;tabellen!H$13,tabellen!H$13*W$4,$AJ33*W$4)</f>
        <v>0</v>
      </c>
      <c r="X33" s="291">
        <f>IF($AJ33&gt;tabellen!H$14,tabellen!H$14*X$4,$AJ33*X$4)</f>
        <v>0</v>
      </c>
      <c r="Y33" s="291" t="str">
        <f t="shared" si="12"/>
        <v/>
      </c>
      <c r="Z33" s="291" t="str">
        <f t="shared" si="13"/>
        <v/>
      </c>
      <c r="AA33" s="293">
        <f t="shared" si="6"/>
        <v>0</v>
      </c>
      <c r="AB33" s="292" t="str">
        <f t="shared" si="14"/>
        <v/>
      </c>
      <c r="AC33" s="294"/>
      <c r="AD33" s="294"/>
      <c r="AE33" s="292">
        <f t="shared" si="15"/>
        <v>0</v>
      </c>
      <c r="AF33" s="293" t="str">
        <f t="shared" si="16"/>
        <v/>
      </c>
      <c r="AG33" s="289" t="str">
        <f t="shared" si="17"/>
        <v/>
      </c>
      <c r="AI33" s="142">
        <f>IF(R33-(tabellen!$F$8*'wg lasten totaal'!H$8)&lt;0,0,(R33-(tabellen!$F$8*'wg lasten totaal'!H$8))*AI$4)</f>
        <v>0</v>
      </c>
      <c r="AJ33" s="142">
        <f t="shared" si="7"/>
        <v>0</v>
      </c>
    </row>
    <row r="34" spans="2:36" ht="10.9" customHeight="1" x14ac:dyDescent="0.2">
      <c r="B34" s="298"/>
      <c r="C34" s="299"/>
      <c r="D34" s="300"/>
      <c r="E34" s="300"/>
      <c r="F34" s="301" t="str">
        <f t="shared" si="8"/>
        <v/>
      </c>
      <c r="G34" s="300"/>
      <c r="H34" s="302"/>
      <c r="I34" s="143" t="str">
        <f t="shared" si="0"/>
        <v/>
      </c>
      <c r="J34" s="290" t="str">
        <f t="shared" si="1"/>
        <v/>
      </c>
      <c r="K34" s="291" t="str">
        <f t="shared" si="9"/>
        <v/>
      </c>
      <c r="L34" s="291" t="str">
        <f t="shared" si="10"/>
        <v/>
      </c>
      <c r="M34" s="291">
        <f t="shared" si="2"/>
        <v>0</v>
      </c>
      <c r="N34" s="291">
        <f t="shared" si="3"/>
        <v>0</v>
      </c>
      <c r="O34" s="291">
        <f>IF(I34="OOP",IF(D34&lt;9,tabellen!$D$37,tabellen!$D$38),0)*H34</f>
        <v>0</v>
      </c>
      <c r="P34" s="291">
        <f t="shared" si="11"/>
        <v>0</v>
      </c>
      <c r="Q34" s="292" t="e">
        <f>VLOOKUP(F34,tabellen!$C$51:$D$64,2,FALSE)</f>
        <v>#N/A</v>
      </c>
      <c r="R34" s="293">
        <f t="shared" si="4"/>
        <v>0</v>
      </c>
      <c r="S34" s="291">
        <f>IF(R34-(tabellen!$F$8*'wg lasten totaal'!H34)&lt;0,0,(R34-(tabellen!$F$8*'wg lasten totaal'!H34))*S$4)</f>
        <v>0</v>
      </c>
      <c r="T34" s="291">
        <f>IF(R34-(tabellen!$F$9*'wg lasten totaal'!H34)&lt;0,0,(R34-(tabellen!$F$9*'wg lasten totaal'!H34))*T$4)</f>
        <v>0</v>
      </c>
      <c r="U34" s="291">
        <f t="shared" si="5"/>
        <v>0</v>
      </c>
      <c r="V34" s="291">
        <f>IF($AJ34&gt;tabellen!H$11,tabellen!H$11*V$4,$AJ34*V$4)</f>
        <v>0</v>
      </c>
      <c r="W34" s="291">
        <f>IF($AJ34&gt;tabellen!H$13,tabellen!H$13*W$4,$AJ34*W$4)</f>
        <v>0</v>
      </c>
      <c r="X34" s="291">
        <f>IF($AJ34&gt;tabellen!H$14,tabellen!H$14*X$4,$AJ34*X$4)</f>
        <v>0</v>
      </c>
      <c r="Y34" s="291" t="str">
        <f t="shared" si="12"/>
        <v/>
      </c>
      <c r="Z34" s="291" t="str">
        <f t="shared" si="13"/>
        <v/>
      </c>
      <c r="AA34" s="293">
        <f t="shared" si="6"/>
        <v>0</v>
      </c>
      <c r="AB34" s="292" t="str">
        <f t="shared" si="14"/>
        <v/>
      </c>
      <c r="AC34" s="294"/>
      <c r="AD34" s="294"/>
      <c r="AE34" s="292">
        <f t="shared" si="15"/>
        <v>0</v>
      </c>
      <c r="AF34" s="293" t="str">
        <f t="shared" si="16"/>
        <v/>
      </c>
      <c r="AG34" s="289" t="str">
        <f t="shared" si="17"/>
        <v/>
      </c>
      <c r="AI34" s="142">
        <f>IF(R34-(tabellen!$F$8*'wg lasten totaal'!H$8)&lt;0,0,(R34-(tabellen!$F$8*'wg lasten totaal'!H$8))*AI$4)</f>
        <v>0</v>
      </c>
      <c r="AJ34" s="142">
        <f t="shared" si="7"/>
        <v>0</v>
      </c>
    </row>
    <row r="35" spans="2:36" ht="10.9" customHeight="1" x14ac:dyDescent="0.2">
      <c r="B35" s="298"/>
      <c r="C35" s="299"/>
      <c r="D35" s="300"/>
      <c r="E35" s="300"/>
      <c r="F35" s="301" t="str">
        <f t="shared" si="8"/>
        <v/>
      </c>
      <c r="G35" s="300"/>
      <c r="H35" s="302"/>
      <c r="I35" s="143" t="str">
        <f t="shared" si="0"/>
        <v/>
      </c>
      <c r="J35" s="290" t="str">
        <f t="shared" si="1"/>
        <v/>
      </c>
      <c r="K35" s="291" t="str">
        <f t="shared" si="9"/>
        <v/>
      </c>
      <c r="L35" s="291" t="str">
        <f t="shared" si="10"/>
        <v/>
      </c>
      <c r="M35" s="291">
        <f t="shared" si="2"/>
        <v>0</v>
      </c>
      <c r="N35" s="291">
        <f t="shared" si="3"/>
        <v>0</v>
      </c>
      <c r="O35" s="291">
        <f>IF(I35="OOP",IF(D35&lt;9,tabellen!$D$37,tabellen!$D$38),0)*H35</f>
        <v>0</v>
      </c>
      <c r="P35" s="291">
        <f t="shared" si="11"/>
        <v>0</v>
      </c>
      <c r="Q35" s="292" t="e">
        <f>VLOOKUP(F35,tabellen!$C$51:$D$64,2,FALSE)</f>
        <v>#N/A</v>
      </c>
      <c r="R35" s="293">
        <f t="shared" si="4"/>
        <v>0</v>
      </c>
      <c r="S35" s="291">
        <f>IF(R35-(tabellen!$F$8*'wg lasten totaal'!H35)&lt;0,0,(R35-(tabellen!$F$8*'wg lasten totaal'!H35))*S$4)</f>
        <v>0</v>
      </c>
      <c r="T35" s="291">
        <f>IF(R35-(tabellen!$F$9*'wg lasten totaal'!H35)&lt;0,0,(R35-(tabellen!$F$9*'wg lasten totaal'!H35))*T$4)</f>
        <v>0</v>
      </c>
      <c r="U35" s="291">
        <f t="shared" si="5"/>
        <v>0</v>
      </c>
      <c r="V35" s="291">
        <f>IF($AJ35&gt;tabellen!H$11,tabellen!H$11*V$4,$AJ35*V$4)</f>
        <v>0</v>
      </c>
      <c r="W35" s="291">
        <f>IF($AJ35&gt;tabellen!H$13,tabellen!H$13*W$4,$AJ35*W$4)</f>
        <v>0</v>
      </c>
      <c r="X35" s="291">
        <f>IF($AJ35&gt;tabellen!H$14,tabellen!H$14*X$4,$AJ35*X$4)</f>
        <v>0</v>
      </c>
      <c r="Y35" s="291" t="str">
        <f t="shared" si="12"/>
        <v/>
      </c>
      <c r="Z35" s="291" t="str">
        <f t="shared" si="13"/>
        <v/>
      </c>
      <c r="AA35" s="293">
        <f t="shared" si="6"/>
        <v>0</v>
      </c>
      <c r="AB35" s="292" t="str">
        <f t="shared" si="14"/>
        <v/>
      </c>
      <c r="AC35" s="294"/>
      <c r="AD35" s="294"/>
      <c r="AE35" s="292">
        <f t="shared" si="15"/>
        <v>0</v>
      </c>
      <c r="AF35" s="293" t="str">
        <f t="shared" si="16"/>
        <v/>
      </c>
      <c r="AG35" s="289" t="str">
        <f t="shared" si="17"/>
        <v/>
      </c>
      <c r="AI35" s="142">
        <f>IF(R35-(tabellen!$F$8*'wg lasten totaal'!H$8)&lt;0,0,(R35-(tabellen!$F$8*'wg lasten totaal'!H$8))*AI$4)</f>
        <v>0</v>
      </c>
      <c r="AJ35" s="142">
        <f t="shared" si="7"/>
        <v>0</v>
      </c>
    </row>
    <row r="36" spans="2:36" ht="10.9" customHeight="1" x14ac:dyDescent="0.2">
      <c r="B36" s="298"/>
      <c r="C36" s="299"/>
      <c r="D36" s="300"/>
      <c r="E36" s="300"/>
      <c r="F36" s="301" t="str">
        <f t="shared" si="8"/>
        <v/>
      </c>
      <c r="G36" s="300"/>
      <c r="H36" s="302"/>
      <c r="I36" s="143" t="str">
        <f t="shared" si="0"/>
        <v/>
      </c>
      <c r="J36" s="290" t="str">
        <f t="shared" si="1"/>
        <v/>
      </c>
      <c r="K36" s="291" t="str">
        <f t="shared" si="9"/>
        <v/>
      </c>
      <c r="L36" s="291" t="str">
        <f t="shared" si="10"/>
        <v/>
      </c>
      <c r="M36" s="291">
        <f t="shared" si="2"/>
        <v>0</v>
      </c>
      <c r="N36" s="291">
        <f t="shared" si="3"/>
        <v>0</v>
      </c>
      <c r="O36" s="291">
        <f>IF(I36="OOP",IF(D36&lt;9,tabellen!$D$37,tabellen!$D$38),0)*H36</f>
        <v>0</v>
      </c>
      <c r="P36" s="291">
        <f t="shared" si="11"/>
        <v>0</v>
      </c>
      <c r="Q36" s="292" t="e">
        <f>VLOOKUP(F36,tabellen!$C$51:$D$64,2,FALSE)</f>
        <v>#N/A</v>
      </c>
      <c r="R36" s="293">
        <f t="shared" si="4"/>
        <v>0</v>
      </c>
      <c r="S36" s="291">
        <f>IF(R36-(tabellen!$F$8*'wg lasten totaal'!H36)&lt;0,0,(R36-(tabellen!$F$8*'wg lasten totaal'!H36))*S$4)</f>
        <v>0</v>
      </c>
      <c r="T36" s="291">
        <f>IF(R36-(tabellen!$F$9*'wg lasten totaal'!H36)&lt;0,0,(R36-(tabellen!$F$9*'wg lasten totaal'!H36))*T$4)</f>
        <v>0</v>
      </c>
      <c r="U36" s="291">
        <f t="shared" si="5"/>
        <v>0</v>
      </c>
      <c r="V36" s="291">
        <f>IF($AJ36&gt;tabellen!H$11,tabellen!H$11*V$4,$AJ36*V$4)</f>
        <v>0</v>
      </c>
      <c r="W36" s="291">
        <f>IF($AJ36&gt;tabellen!H$13,tabellen!H$13*W$4,$AJ36*W$4)</f>
        <v>0</v>
      </c>
      <c r="X36" s="291">
        <f>IF($AJ36&gt;tabellen!H$14,tabellen!H$14*X$4,$AJ36*X$4)</f>
        <v>0</v>
      </c>
      <c r="Y36" s="291" t="str">
        <f t="shared" si="12"/>
        <v/>
      </c>
      <c r="Z36" s="291" t="str">
        <f t="shared" si="13"/>
        <v/>
      </c>
      <c r="AA36" s="293">
        <f t="shared" si="6"/>
        <v>0</v>
      </c>
      <c r="AB36" s="292" t="str">
        <f t="shared" si="14"/>
        <v/>
      </c>
      <c r="AC36" s="294"/>
      <c r="AD36" s="294"/>
      <c r="AE36" s="292">
        <f t="shared" si="15"/>
        <v>0</v>
      </c>
      <c r="AF36" s="293" t="str">
        <f t="shared" si="16"/>
        <v/>
      </c>
      <c r="AG36" s="289" t="str">
        <f t="shared" si="17"/>
        <v/>
      </c>
      <c r="AI36" s="142">
        <f>IF(R36-(tabellen!$F$8*'wg lasten totaal'!H$8)&lt;0,0,(R36-(tabellen!$F$8*'wg lasten totaal'!H$8))*AI$4)</f>
        <v>0</v>
      </c>
      <c r="AJ36" s="142">
        <f t="shared" si="7"/>
        <v>0</v>
      </c>
    </row>
    <row r="37" spans="2:36" ht="10.9" customHeight="1" x14ac:dyDescent="0.2">
      <c r="B37" s="298"/>
      <c r="C37" s="299"/>
      <c r="D37" s="300"/>
      <c r="E37" s="300"/>
      <c r="F37" s="301" t="str">
        <f t="shared" si="8"/>
        <v/>
      </c>
      <c r="G37" s="300"/>
      <c r="H37" s="302"/>
      <c r="I37" s="143" t="str">
        <f t="shared" si="0"/>
        <v/>
      </c>
      <c r="J37" s="290" t="str">
        <f t="shared" si="1"/>
        <v/>
      </c>
      <c r="K37" s="291" t="str">
        <f t="shared" si="9"/>
        <v/>
      </c>
      <c r="L37" s="291" t="str">
        <f t="shared" si="10"/>
        <v/>
      </c>
      <c r="M37" s="291">
        <f t="shared" si="2"/>
        <v>0</v>
      </c>
      <c r="N37" s="291">
        <f t="shared" si="3"/>
        <v>0</v>
      </c>
      <c r="O37" s="291">
        <f>IF(I37="OOP",IF(D37&lt;9,tabellen!$D$37,tabellen!$D$38),0)*H37</f>
        <v>0</v>
      </c>
      <c r="P37" s="291">
        <f t="shared" si="11"/>
        <v>0</v>
      </c>
      <c r="Q37" s="292" t="e">
        <f>VLOOKUP(F37,tabellen!$C$51:$D$64,2,FALSE)</f>
        <v>#N/A</v>
      </c>
      <c r="R37" s="293">
        <f t="shared" si="4"/>
        <v>0</v>
      </c>
      <c r="S37" s="291">
        <f>IF(R37-(tabellen!$F$8*'wg lasten totaal'!H37)&lt;0,0,(R37-(tabellen!$F$8*'wg lasten totaal'!H37))*S$4)</f>
        <v>0</v>
      </c>
      <c r="T37" s="291">
        <f>IF(R37-(tabellen!$F$9*'wg lasten totaal'!H37)&lt;0,0,(R37-(tabellen!$F$9*'wg lasten totaal'!H37))*T$4)</f>
        <v>0</v>
      </c>
      <c r="U37" s="291">
        <f t="shared" si="5"/>
        <v>0</v>
      </c>
      <c r="V37" s="291">
        <f>IF($AJ37&gt;tabellen!H$11,tabellen!H$11*V$4,$AJ37*V$4)</f>
        <v>0</v>
      </c>
      <c r="W37" s="291">
        <f>IF($AJ37&gt;tabellen!H$13,tabellen!H$13*W$4,$AJ37*W$4)</f>
        <v>0</v>
      </c>
      <c r="X37" s="291">
        <f>IF($AJ37&gt;tabellen!H$14,tabellen!H$14*X$4,$AJ37*X$4)</f>
        <v>0</v>
      </c>
      <c r="Y37" s="291" t="str">
        <f t="shared" si="12"/>
        <v/>
      </c>
      <c r="Z37" s="291" t="str">
        <f t="shared" si="13"/>
        <v/>
      </c>
      <c r="AA37" s="293">
        <f t="shared" si="6"/>
        <v>0</v>
      </c>
      <c r="AB37" s="292" t="str">
        <f t="shared" si="14"/>
        <v/>
      </c>
      <c r="AC37" s="294"/>
      <c r="AD37" s="294"/>
      <c r="AE37" s="292">
        <f t="shared" si="15"/>
        <v>0</v>
      </c>
      <c r="AF37" s="293" t="str">
        <f t="shared" si="16"/>
        <v/>
      </c>
      <c r="AG37" s="289" t="str">
        <f t="shared" si="17"/>
        <v/>
      </c>
      <c r="AI37" s="142">
        <f>IF(R37-(tabellen!$F$8*'wg lasten totaal'!H$8)&lt;0,0,(R37-(tabellen!$F$8*'wg lasten totaal'!H$8))*AI$4)</f>
        <v>0</v>
      </c>
      <c r="AJ37" s="142">
        <f t="shared" si="7"/>
        <v>0</v>
      </c>
    </row>
    <row r="38" spans="2:36" ht="10.9" customHeight="1" x14ac:dyDescent="0.2">
      <c r="B38" s="298"/>
      <c r="C38" s="299"/>
      <c r="D38" s="300"/>
      <c r="E38" s="300"/>
      <c r="F38" s="301" t="str">
        <f t="shared" si="8"/>
        <v/>
      </c>
      <c r="G38" s="300"/>
      <c r="H38" s="302"/>
      <c r="I38" s="143" t="str">
        <f t="shared" si="0"/>
        <v/>
      </c>
      <c r="J38" s="290" t="str">
        <f t="shared" si="1"/>
        <v/>
      </c>
      <c r="K38" s="291" t="str">
        <f t="shared" si="9"/>
        <v/>
      </c>
      <c r="L38" s="291" t="str">
        <f t="shared" si="10"/>
        <v/>
      </c>
      <c r="M38" s="291">
        <f t="shared" si="2"/>
        <v>0</v>
      </c>
      <c r="N38" s="291">
        <f t="shared" si="3"/>
        <v>0</v>
      </c>
      <c r="O38" s="291">
        <f>IF(I38="OOP",IF(D38&lt;9,tabellen!$D$37,tabellen!$D$38),0)*H38</f>
        <v>0</v>
      </c>
      <c r="P38" s="291">
        <f t="shared" si="11"/>
        <v>0</v>
      </c>
      <c r="Q38" s="292" t="e">
        <f>VLOOKUP(F38,tabellen!$C$51:$D$64,2,FALSE)</f>
        <v>#N/A</v>
      </c>
      <c r="R38" s="293">
        <f t="shared" si="4"/>
        <v>0</v>
      </c>
      <c r="S38" s="291">
        <f>IF(R38-(tabellen!$F$8*'wg lasten totaal'!H38)&lt;0,0,(R38-(tabellen!$F$8*'wg lasten totaal'!H38))*S$4)</f>
        <v>0</v>
      </c>
      <c r="T38" s="291">
        <f>IF(R38-(tabellen!$F$9*'wg lasten totaal'!H38)&lt;0,0,(R38-(tabellen!$F$9*'wg lasten totaal'!H38))*T$4)</f>
        <v>0</v>
      </c>
      <c r="U38" s="291">
        <f t="shared" si="5"/>
        <v>0</v>
      </c>
      <c r="V38" s="291">
        <f>IF($AJ38&gt;tabellen!H$11,tabellen!H$11*V$4,$AJ38*V$4)</f>
        <v>0</v>
      </c>
      <c r="W38" s="291">
        <f>IF($AJ38&gt;tabellen!H$13,tabellen!H$13*W$4,$AJ38*W$4)</f>
        <v>0</v>
      </c>
      <c r="X38" s="291">
        <f>IF($AJ38&gt;tabellen!H$14,tabellen!H$14*X$4,$AJ38*X$4)</f>
        <v>0</v>
      </c>
      <c r="Y38" s="291" t="str">
        <f t="shared" si="12"/>
        <v/>
      </c>
      <c r="Z38" s="291" t="str">
        <f t="shared" si="13"/>
        <v/>
      </c>
      <c r="AA38" s="293">
        <f t="shared" si="6"/>
        <v>0</v>
      </c>
      <c r="AB38" s="292" t="str">
        <f t="shared" si="14"/>
        <v/>
      </c>
      <c r="AC38" s="294"/>
      <c r="AD38" s="294"/>
      <c r="AE38" s="292">
        <f t="shared" si="15"/>
        <v>0</v>
      </c>
      <c r="AF38" s="293" t="str">
        <f t="shared" si="16"/>
        <v/>
      </c>
      <c r="AG38" s="289" t="str">
        <f t="shared" si="17"/>
        <v/>
      </c>
      <c r="AI38" s="142">
        <f>IF(R38-(tabellen!$F$8*'wg lasten totaal'!H$8)&lt;0,0,(R38-(tabellen!$F$8*'wg lasten totaal'!H$8))*AI$4)</f>
        <v>0</v>
      </c>
      <c r="AJ38" s="142">
        <f t="shared" si="7"/>
        <v>0</v>
      </c>
    </row>
    <row r="39" spans="2:36" ht="10.9" customHeight="1" x14ac:dyDescent="0.2">
      <c r="B39" s="298"/>
      <c r="C39" s="299"/>
      <c r="D39" s="300"/>
      <c r="E39" s="300"/>
      <c r="F39" s="301" t="str">
        <f t="shared" si="8"/>
        <v/>
      </c>
      <c r="G39" s="300"/>
      <c r="H39" s="302"/>
      <c r="I39" s="143" t="str">
        <f t="shared" si="0"/>
        <v/>
      </c>
      <c r="J39" s="290" t="str">
        <f t="shared" si="1"/>
        <v/>
      </c>
      <c r="K39" s="291" t="str">
        <f t="shared" si="9"/>
        <v/>
      </c>
      <c r="L39" s="291" t="str">
        <f t="shared" si="10"/>
        <v/>
      </c>
      <c r="M39" s="291">
        <f t="shared" si="2"/>
        <v>0</v>
      </c>
      <c r="N39" s="291">
        <f t="shared" si="3"/>
        <v>0</v>
      </c>
      <c r="O39" s="291">
        <f>IF(I39="OOP",IF(D39&lt;9,tabellen!$D$37,tabellen!$D$38),0)*H39</f>
        <v>0</v>
      </c>
      <c r="P39" s="291">
        <f t="shared" si="11"/>
        <v>0</v>
      </c>
      <c r="Q39" s="292" t="e">
        <f>VLOOKUP(F39,tabellen!$C$51:$D$64,2,FALSE)</f>
        <v>#N/A</v>
      </c>
      <c r="R39" s="293">
        <f t="shared" si="4"/>
        <v>0</v>
      </c>
      <c r="S39" s="291">
        <f>IF(R39-(tabellen!$F$8*'wg lasten totaal'!H39)&lt;0,0,(R39-(tabellen!$F$8*'wg lasten totaal'!H39))*S$4)</f>
        <v>0</v>
      </c>
      <c r="T39" s="291">
        <f>IF(R39-(tabellen!$F$9*'wg lasten totaal'!H39)&lt;0,0,(R39-(tabellen!$F$9*'wg lasten totaal'!H39))*T$4)</f>
        <v>0</v>
      </c>
      <c r="U39" s="291">
        <f t="shared" si="5"/>
        <v>0</v>
      </c>
      <c r="V39" s="291">
        <f>IF($AJ39&gt;tabellen!H$11,tabellen!H$11*V$4,$AJ39*V$4)</f>
        <v>0</v>
      </c>
      <c r="W39" s="291">
        <f>IF($AJ39&gt;tabellen!H$13,tabellen!H$13*W$4,$AJ39*W$4)</f>
        <v>0</v>
      </c>
      <c r="X39" s="291">
        <f>IF($AJ39&gt;tabellen!H$14,tabellen!H$14*X$4,$AJ39*X$4)</f>
        <v>0</v>
      </c>
      <c r="Y39" s="291" t="str">
        <f t="shared" si="12"/>
        <v/>
      </c>
      <c r="Z39" s="291" t="str">
        <f t="shared" si="13"/>
        <v/>
      </c>
      <c r="AA39" s="293">
        <f t="shared" si="6"/>
        <v>0</v>
      </c>
      <c r="AB39" s="292" t="str">
        <f t="shared" si="14"/>
        <v/>
      </c>
      <c r="AC39" s="294"/>
      <c r="AD39" s="294"/>
      <c r="AE39" s="292">
        <f t="shared" si="15"/>
        <v>0</v>
      </c>
      <c r="AF39" s="293" t="str">
        <f t="shared" si="16"/>
        <v/>
      </c>
      <c r="AG39" s="289" t="str">
        <f t="shared" si="17"/>
        <v/>
      </c>
      <c r="AI39" s="142">
        <f>IF(R39-(tabellen!$F$8*'wg lasten totaal'!H$8)&lt;0,0,(R39-(tabellen!$F$8*'wg lasten totaal'!H$8))*AI$4)</f>
        <v>0</v>
      </c>
      <c r="AJ39" s="142">
        <f t="shared" si="7"/>
        <v>0</v>
      </c>
    </row>
    <row r="40" spans="2:36" ht="10.9" customHeight="1" x14ac:dyDescent="0.2">
      <c r="B40" s="298"/>
      <c r="C40" s="299"/>
      <c r="D40" s="300"/>
      <c r="E40" s="300"/>
      <c r="F40" s="301" t="str">
        <f t="shared" si="8"/>
        <v/>
      </c>
      <c r="G40" s="300"/>
      <c r="H40" s="302"/>
      <c r="I40" s="143" t="str">
        <f t="shared" ref="I40:I63" si="18">IF(H40="","",VLOOKUP(D40,salaristabel2023,23,FALSE))</f>
        <v/>
      </c>
      <c r="J40" s="290" t="str">
        <f t="shared" ref="J40:J63" si="19">IF(H40="","",VLOOKUP(D40,salaristabel2023,E40+5,FALSE)*H40)</f>
        <v/>
      </c>
      <c r="K40" s="291" t="str">
        <f t="shared" si="9"/>
        <v/>
      </c>
      <c r="L40" s="291" t="str">
        <f t="shared" si="10"/>
        <v/>
      </c>
      <c r="M40" s="291">
        <f t="shared" ref="M40:M63" si="20">IF(G40="ja",VLOOKUP(D40,uitlooptoeslag,2),0)*H40</f>
        <v>0</v>
      </c>
      <c r="N40" s="291">
        <f t="shared" ref="N40:N63" si="21">IF(I40="DIR",VLOOKUP(D40,arbeidsmarkttoelage,2),0)*H40</f>
        <v>0</v>
      </c>
      <c r="O40" s="291">
        <f>IF(I40="OOP",IF(D40&lt;9,tabellen!$D$37,tabellen!$D$38),0)*H40</f>
        <v>0</v>
      </c>
      <c r="P40" s="291">
        <f t="shared" si="11"/>
        <v>0</v>
      </c>
      <c r="Q40" s="292" t="e">
        <f>VLOOKUP(F40,tabellen!$C$51:$D$64,2,FALSE)</f>
        <v>#N/A</v>
      </c>
      <c r="R40" s="293">
        <f t="shared" ref="R40:R63" si="22">SUM(J40:P40)</f>
        <v>0</v>
      </c>
      <c r="S40" s="291">
        <f>IF(R40-(tabellen!$F$8*'wg lasten totaal'!H40)&lt;0,0,(R40-(tabellen!$F$8*'wg lasten totaal'!H40))*S$4)</f>
        <v>0</v>
      </c>
      <c r="T40" s="291">
        <f>IF(R40-(tabellen!$F$9*'wg lasten totaal'!H40)&lt;0,0,(R40-(tabellen!$F$9*'wg lasten totaal'!H40))*T$4)</f>
        <v>0</v>
      </c>
      <c r="U40" s="291">
        <f t="shared" ref="U40:U63" si="23">R40*U$4</f>
        <v>0</v>
      </c>
      <c r="V40" s="291">
        <f>IF($AJ40&gt;tabellen!H$11,tabellen!H$11*V$4,$AJ40*V$4)</f>
        <v>0</v>
      </c>
      <c r="W40" s="291">
        <f>IF($AJ40&gt;tabellen!H$13,tabellen!H$13*W$4,$AJ40*W$4)</f>
        <v>0</v>
      </c>
      <c r="X40" s="291">
        <f>IF($AJ40&gt;tabellen!H$14,tabellen!H$14*X$4,$AJ40*X$4)</f>
        <v>0</v>
      </c>
      <c r="Y40" s="291" t="str">
        <f t="shared" si="12"/>
        <v/>
      </c>
      <c r="Z40" s="291" t="str">
        <f t="shared" si="13"/>
        <v/>
      </c>
      <c r="AA40" s="293">
        <f t="shared" ref="AA40:AA63" si="24">SUM(S40:Z40)</f>
        <v>0</v>
      </c>
      <c r="AB40" s="292" t="str">
        <f t="shared" si="14"/>
        <v/>
      </c>
      <c r="AC40" s="294"/>
      <c r="AD40" s="294"/>
      <c r="AE40" s="292">
        <f t="shared" si="15"/>
        <v>0</v>
      </c>
      <c r="AF40" s="293" t="str">
        <f t="shared" si="16"/>
        <v/>
      </c>
      <c r="AG40" s="289" t="str">
        <f t="shared" si="17"/>
        <v/>
      </c>
      <c r="AI40" s="142">
        <f>IF(R40-(tabellen!$F$8*'wg lasten totaal'!H$8)&lt;0,0,(R40-(tabellen!$F$8*'wg lasten totaal'!H$8))*AI$4)</f>
        <v>0</v>
      </c>
      <c r="AJ40" s="142">
        <f t="shared" ref="AJ40:AJ63" si="25">R40-AI40</f>
        <v>0</v>
      </c>
    </row>
    <row r="41" spans="2:36" ht="10.9" customHeight="1" x14ac:dyDescent="0.2">
      <c r="B41" s="298"/>
      <c r="C41" s="299"/>
      <c r="D41" s="300"/>
      <c r="E41" s="300"/>
      <c r="F41" s="301" t="str">
        <f t="shared" si="8"/>
        <v/>
      </c>
      <c r="G41" s="300"/>
      <c r="H41" s="302"/>
      <c r="I41" s="143" t="str">
        <f t="shared" si="18"/>
        <v/>
      </c>
      <c r="J41" s="290" t="str">
        <f t="shared" si="19"/>
        <v/>
      </c>
      <c r="K41" s="291" t="str">
        <f t="shared" si="9"/>
        <v/>
      </c>
      <c r="L41" s="291" t="str">
        <f t="shared" si="10"/>
        <v/>
      </c>
      <c r="M41" s="291">
        <f t="shared" si="20"/>
        <v>0</v>
      </c>
      <c r="N41" s="291">
        <f t="shared" si="21"/>
        <v>0</v>
      </c>
      <c r="O41" s="291">
        <f>IF(I41="OOP",IF(D41&lt;9,tabellen!$D$37,tabellen!$D$38),0)*H41</f>
        <v>0</v>
      </c>
      <c r="P41" s="291">
        <f t="shared" si="11"/>
        <v>0</v>
      </c>
      <c r="Q41" s="292" t="e">
        <f>VLOOKUP(F41,tabellen!$C$51:$D$64,2,FALSE)</f>
        <v>#N/A</v>
      </c>
      <c r="R41" s="293">
        <f t="shared" si="22"/>
        <v>0</v>
      </c>
      <c r="S41" s="291">
        <f>IF(R41-(tabellen!$F$8*'wg lasten totaal'!H41)&lt;0,0,(R41-(tabellen!$F$8*'wg lasten totaal'!H41))*S$4)</f>
        <v>0</v>
      </c>
      <c r="T41" s="291">
        <f>IF(R41-(tabellen!$F$9*'wg lasten totaal'!H41)&lt;0,0,(R41-(tabellen!$F$9*'wg lasten totaal'!H41))*T$4)</f>
        <v>0</v>
      </c>
      <c r="U41" s="291">
        <f t="shared" si="23"/>
        <v>0</v>
      </c>
      <c r="V41" s="291">
        <f>IF($AJ41&gt;tabellen!H$11,tabellen!H$11*V$4,$AJ41*V$4)</f>
        <v>0</v>
      </c>
      <c r="W41" s="291">
        <f>IF($AJ41&gt;tabellen!H$13,tabellen!H$13*W$4,$AJ41*W$4)</f>
        <v>0</v>
      </c>
      <c r="X41" s="291">
        <f>IF($AJ41&gt;tabellen!H$14,tabellen!H$14*X$4,$AJ41*X$4)</f>
        <v>0</v>
      </c>
      <c r="Y41" s="291" t="str">
        <f t="shared" si="12"/>
        <v/>
      </c>
      <c r="Z41" s="291" t="str">
        <f t="shared" si="13"/>
        <v/>
      </c>
      <c r="AA41" s="293">
        <f t="shared" si="24"/>
        <v>0</v>
      </c>
      <c r="AB41" s="292" t="str">
        <f t="shared" si="14"/>
        <v/>
      </c>
      <c r="AC41" s="294"/>
      <c r="AD41" s="294"/>
      <c r="AE41" s="292">
        <f t="shared" si="15"/>
        <v>0</v>
      </c>
      <c r="AF41" s="293" t="str">
        <f t="shared" si="16"/>
        <v/>
      </c>
      <c r="AG41" s="289" t="str">
        <f t="shared" si="17"/>
        <v/>
      </c>
      <c r="AI41" s="142">
        <f>IF(R41-(tabellen!$F$8*'wg lasten totaal'!H$8)&lt;0,0,(R41-(tabellen!$F$8*'wg lasten totaal'!H$8))*AI$4)</f>
        <v>0</v>
      </c>
      <c r="AJ41" s="142">
        <f t="shared" si="25"/>
        <v>0</v>
      </c>
    </row>
    <row r="42" spans="2:36" ht="10.9" customHeight="1" x14ac:dyDescent="0.2">
      <c r="B42" s="298"/>
      <c r="C42" s="299"/>
      <c r="D42" s="300"/>
      <c r="E42" s="300"/>
      <c r="F42" s="301" t="str">
        <f t="shared" si="8"/>
        <v/>
      </c>
      <c r="G42" s="300"/>
      <c r="H42" s="302"/>
      <c r="I42" s="143" t="str">
        <f t="shared" si="18"/>
        <v/>
      </c>
      <c r="J42" s="290" t="str">
        <f t="shared" si="19"/>
        <v/>
      </c>
      <c r="K42" s="291" t="str">
        <f t="shared" si="9"/>
        <v/>
      </c>
      <c r="L42" s="291" t="str">
        <f t="shared" si="10"/>
        <v/>
      </c>
      <c r="M42" s="291">
        <f t="shared" si="20"/>
        <v>0</v>
      </c>
      <c r="N42" s="291">
        <f t="shared" si="21"/>
        <v>0</v>
      </c>
      <c r="O42" s="291">
        <f>IF(I42="OOP",IF(D42&lt;9,tabellen!$D$37,tabellen!$D$38),0)*H42</f>
        <v>0</v>
      </c>
      <c r="P42" s="291">
        <f t="shared" si="11"/>
        <v>0</v>
      </c>
      <c r="Q42" s="292" t="e">
        <f>VLOOKUP(F42,tabellen!$C$51:$D$64,2,FALSE)</f>
        <v>#N/A</v>
      </c>
      <c r="R42" s="293">
        <f t="shared" si="22"/>
        <v>0</v>
      </c>
      <c r="S42" s="291">
        <f>IF(R42-(tabellen!$F$8*'wg lasten totaal'!H42)&lt;0,0,(R42-(tabellen!$F$8*'wg lasten totaal'!H42))*S$4)</f>
        <v>0</v>
      </c>
      <c r="T42" s="291">
        <f>IF(R42-(tabellen!$F$9*'wg lasten totaal'!H42)&lt;0,0,(R42-(tabellen!$F$9*'wg lasten totaal'!H42))*T$4)</f>
        <v>0</v>
      </c>
      <c r="U42" s="291">
        <f t="shared" si="23"/>
        <v>0</v>
      </c>
      <c r="V42" s="291">
        <f>IF($AJ42&gt;tabellen!H$11,tabellen!H$11*V$4,$AJ42*V$4)</f>
        <v>0</v>
      </c>
      <c r="W42" s="291">
        <f>IF($AJ42&gt;tabellen!H$13,tabellen!H$13*W$4,$AJ42*W$4)</f>
        <v>0</v>
      </c>
      <c r="X42" s="291">
        <f>IF($AJ42&gt;tabellen!H$14,tabellen!H$14*X$4,$AJ42*X$4)</f>
        <v>0</v>
      </c>
      <c r="Y42" s="291" t="str">
        <f t="shared" si="12"/>
        <v/>
      </c>
      <c r="Z42" s="291" t="str">
        <f t="shared" si="13"/>
        <v/>
      </c>
      <c r="AA42" s="293">
        <f t="shared" si="24"/>
        <v>0</v>
      </c>
      <c r="AB42" s="292" t="str">
        <f t="shared" si="14"/>
        <v/>
      </c>
      <c r="AC42" s="294"/>
      <c r="AD42" s="294"/>
      <c r="AE42" s="292">
        <f t="shared" si="15"/>
        <v>0</v>
      </c>
      <c r="AF42" s="293" t="str">
        <f t="shared" si="16"/>
        <v/>
      </c>
      <c r="AG42" s="289" t="str">
        <f t="shared" si="17"/>
        <v/>
      </c>
      <c r="AI42" s="142">
        <f>IF(R42-(tabellen!$F$8*'wg lasten totaal'!H$8)&lt;0,0,(R42-(tabellen!$F$8*'wg lasten totaal'!H$8))*AI$4)</f>
        <v>0</v>
      </c>
      <c r="AJ42" s="142">
        <f t="shared" si="25"/>
        <v>0</v>
      </c>
    </row>
    <row r="43" spans="2:36" ht="10.9" customHeight="1" x14ac:dyDescent="0.2">
      <c r="B43" s="298"/>
      <c r="C43" s="299"/>
      <c r="D43" s="300"/>
      <c r="E43" s="300"/>
      <c r="F43" s="301" t="str">
        <f t="shared" si="8"/>
        <v/>
      </c>
      <c r="G43" s="300"/>
      <c r="H43" s="302"/>
      <c r="I43" s="143" t="str">
        <f t="shared" si="18"/>
        <v/>
      </c>
      <c r="J43" s="290" t="str">
        <f t="shared" si="19"/>
        <v/>
      </c>
      <c r="K43" s="291" t="str">
        <f t="shared" si="9"/>
        <v/>
      </c>
      <c r="L43" s="291" t="str">
        <f t="shared" si="10"/>
        <v/>
      </c>
      <c r="M43" s="291">
        <f t="shared" si="20"/>
        <v>0</v>
      </c>
      <c r="N43" s="291">
        <f t="shared" si="21"/>
        <v>0</v>
      </c>
      <c r="O43" s="291">
        <f>IF(I43="OOP",IF(D43&lt;9,tabellen!$D$37,tabellen!$D$38),0)*H43</f>
        <v>0</v>
      </c>
      <c r="P43" s="291">
        <f t="shared" si="11"/>
        <v>0</v>
      </c>
      <c r="Q43" s="292" t="e">
        <f>VLOOKUP(F43,tabellen!$C$51:$D$64,2,FALSE)</f>
        <v>#N/A</v>
      </c>
      <c r="R43" s="293">
        <f t="shared" si="22"/>
        <v>0</v>
      </c>
      <c r="S43" s="291">
        <f>IF(R43-(tabellen!$F$8*'wg lasten totaal'!H43)&lt;0,0,(R43-(tabellen!$F$8*'wg lasten totaal'!H43))*S$4)</f>
        <v>0</v>
      </c>
      <c r="T43" s="291">
        <f>IF(R43-(tabellen!$F$9*'wg lasten totaal'!H43)&lt;0,0,(R43-(tabellen!$F$9*'wg lasten totaal'!H43))*T$4)</f>
        <v>0</v>
      </c>
      <c r="U43" s="291">
        <f t="shared" si="23"/>
        <v>0</v>
      </c>
      <c r="V43" s="291">
        <f>IF($AJ43&gt;tabellen!H$11,tabellen!H$11*V$4,$AJ43*V$4)</f>
        <v>0</v>
      </c>
      <c r="W43" s="291">
        <f>IF($AJ43&gt;tabellen!H$13,tabellen!H$13*W$4,$AJ43*W$4)</f>
        <v>0</v>
      </c>
      <c r="X43" s="291">
        <f>IF($AJ43&gt;tabellen!H$14,tabellen!H$14*X$4,$AJ43*X$4)</f>
        <v>0</v>
      </c>
      <c r="Y43" s="291" t="str">
        <f t="shared" si="12"/>
        <v/>
      </c>
      <c r="Z43" s="291" t="str">
        <f t="shared" si="13"/>
        <v/>
      </c>
      <c r="AA43" s="293">
        <f t="shared" si="24"/>
        <v>0</v>
      </c>
      <c r="AB43" s="292" t="str">
        <f t="shared" si="14"/>
        <v/>
      </c>
      <c r="AC43" s="294"/>
      <c r="AD43" s="294"/>
      <c r="AE43" s="292">
        <f t="shared" si="15"/>
        <v>0</v>
      </c>
      <c r="AF43" s="293" t="str">
        <f t="shared" si="16"/>
        <v/>
      </c>
      <c r="AG43" s="289" t="str">
        <f t="shared" si="17"/>
        <v/>
      </c>
      <c r="AI43" s="142">
        <f>IF(R43-(tabellen!$F$8*'wg lasten totaal'!H$8)&lt;0,0,(R43-(tabellen!$F$8*'wg lasten totaal'!H$8))*AI$4)</f>
        <v>0</v>
      </c>
      <c r="AJ43" s="142">
        <f t="shared" si="25"/>
        <v>0</v>
      </c>
    </row>
    <row r="44" spans="2:36" ht="10.9" customHeight="1" x14ac:dyDescent="0.2">
      <c r="B44" s="298"/>
      <c r="C44" s="299"/>
      <c r="D44" s="300"/>
      <c r="E44" s="300"/>
      <c r="F44" s="301" t="str">
        <f t="shared" si="8"/>
        <v/>
      </c>
      <c r="G44" s="300"/>
      <c r="H44" s="302"/>
      <c r="I44" s="143" t="str">
        <f t="shared" si="18"/>
        <v/>
      </c>
      <c r="J44" s="290" t="str">
        <f t="shared" si="19"/>
        <v/>
      </c>
      <c r="K44" s="291" t="str">
        <f t="shared" si="9"/>
        <v/>
      </c>
      <c r="L44" s="291" t="str">
        <f t="shared" si="10"/>
        <v/>
      </c>
      <c r="M44" s="291">
        <f t="shared" si="20"/>
        <v>0</v>
      </c>
      <c r="N44" s="291">
        <f t="shared" si="21"/>
        <v>0</v>
      </c>
      <c r="O44" s="291">
        <f>IF(I44="OOP",IF(D44&lt;9,tabellen!$D$37,tabellen!$D$38),0)*H44</f>
        <v>0</v>
      </c>
      <c r="P44" s="291">
        <f t="shared" si="11"/>
        <v>0</v>
      </c>
      <c r="Q44" s="292" t="e">
        <f>VLOOKUP(F44,tabellen!$C$51:$D$64,2,FALSE)</f>
        <v>#N/A</v>
      </c>
      <c r="R44" s="293">
        <f t="shared" si="22"/>
        <v>0</v>
      </c>
      <c r="S44" s="291">
        <f>IF(R44-(tabellen!$F$8*'wg lasten totaal'!H44)&lt;0,0,(R44-(tabellen!$F$8*'wg lasten totaal'!H44))*S$4)</f>
        <v>0</v>
      </c>
      <c r="T44" s="291">
        <f>IF(R44-(tabellen!$F$9*'wg lasten totaal'!H44)&lt;0,0,(R44-(tabellen!$F$9*'wg lasten totaal'!H44))*T$4)</f>
        <v>0</v>
      </c>
      <c r="U44" s="291">
        <f t="shared" si="23"/>
        <v>0</v>
      </c>
      <c r="V44" s="291">
        <f>IF($AJ44&gt;tabellen!H$11,tabellen!H$11*V$4,$AJ44*V$4)</f>
        <v>0</v>
      </c>
      <c r="W44" s="291">
        <f>IF($AJ44&gt;tabellen!H$13,tabellen!H$13*W$4,$AJ44*W$4)</f>
        <v>0</v>
      </c>
      <c r="X44" s="291">
        <f>IF($AJ44&gt;tabellen!H$14,tabellen!H$14*X$4,$AJ44*X$4)</f>
        <v>0</v>
      </c>
      <c r="Y44" s="291" t="str">
        <f t="shared" si="12"/>
        <v/>
      </c>
      <c r="Z44" s="291" t="str">
        <f t="shared" si="13"/>
        <v/>
      </c>
      <c r="AA44" s="293">
        <f t="shared" si="24"/>
        <v>0</v>
      </c>
      <c r="AB44" s="292" t="str">
        <f t="shared" si="14"/>
        <v/>
      </c>
      <c r="AC44" s="294"/>
      <c r="AD44" s="294"/>
      <c r="AE44" s="292">
        <f t="shared" si="15"/>
        <v>0</v>
      </c>
      <c r="AF44" s="293" t="str">
        <f t="shared" si="16"/>
        <v/>
      </c>
      <c r="AG44" s="289" t="str">
        <f t="shared" si="17"/>
        <v/>
      </c>
      <c r="AI44" s="142">
        <f>IF(R44-(tabellen!$F$8*'wg lasten totaal'!H$8)&lt;0,0,(R44-(tabellen!$F$8*'wg lasten totaal'!H$8))*AI$4)</f>
        <v>0</v>
      </c>
      <c r="AJ44" s="142">
        <f t="shared" si="25"/>
        <v>0</v>
      </c>
    </row>
    <row r="45" spans="2:36" ht="10.9" customHeight="1" x14ac:dyDescent="0.2">
      <c r="B45" s="298"/>
      <c r="C45" s="299"/>
      <c r="D45" s="300"/>
      <c r="E45" s="300"/>
      <c r="F45" s="301" t="str">
        <f t="shared" si="8"/>
        <v/>
      </c>
      <c r="G45" s="300"/>
      <c r="H45" s="302"/>
      <c r="I45" s="143" t="str">
        <f t="shared" si="18"/>
        <v/>
      </c>
      <c r="J45" s="290" t="str">
        <f t="shared" si="19"/>
        <v/>
      </c>
      <c r="K45" s="291" t="str">
        <f t="shared" si="9"/>
        <v/>
      </c>
      <c r="L45" s="291" t="str">
        <f t="shared" si="10"/>
        <v/>
      </c>
      <c r="M45" s="291">
        <f t="shared" si="20"/>
        <v>0</v>
      </c>
      <c r="N45" s="291">
        <f t="shared" si="21"/>
        <v>0</v>
      </c>
      <c r="O45" s="291">
        <f>IF(I45="OOP",IF(D45&lt;9,tabellen!$D$37,tabellen!$D$38),0)*H45</f>
        <v>0</v>
      </c>
      <c r="P45" s="291">
        <f t="shared" si="11"/>
        <v>0</v>
      </c>
      <c r="Q45" s="292" t="e">
        <f>VLOOKUP(F45,tabellen!$C$51:$D$64,2,FALSE)</f>
        <v>#N/A</v>
      </c>
      <c r="R45" s="293">
        <f t="shared" si="22"/>
        <v>0</v>
      </c>
      <c r="S45" s="291">
        <f>IF(R45-(tabellen!$F$8*'wg lasten totaal'!H45)&lt;0,0,(R45-(tabellen!$F$8*'wg lasten totaal'!H45))*S$4)</f>
        <v>0</v>
      </c>
      <c r="T45" s="291">
        <f>IF(R45-(tabellen!$F$9*'wg lasten totaal'!H45)&lt;0,0,(R45-(tabellen!$F$9*'wg lasten totaal'!H45))*T$4)</f>
        <v>0</v>
      </c>
      <c r="U45" s="291">
        <f t="shared" si="23"/>
        <v>0</v>
      </c>
      <c r="V45" s="291">
        <f>IF($AJ45&gt;tabellen!H$11,tabellen!H$11*V$4,$AJ45*V$4)</f>
        <v>0</v>
      </c>
      <c r="W45" s="291">
        <f>IF($AJ45&gt;tabellen!H$13,tabellen!H$13*W$4,$AJ45*W$4)</f>
        <v>0</v>
      </c>
      <c r="X45" s="291">
        <f>IF($AJ45&gt;tabellen!H$14,tabellen!H$14*X$4,$AJ45*X$4)</f>
        <v>0</v>
      </c>
      <c r="Y45" s="291" t="str">
        <f t="shared" si="12"/>
        <v/>
      </c>
      <c r="Z45" s="291" t="str">
        <f t="shared" si="13"/>
        <v/>
      </c>
      <c r="AA45" s="293">
        <f t="shared" si="24"/>
        <v>0</v>
      </c>
      <c r="AB45" s="292" t="str">
        <f t="shared" si="14"/>
        <v/>
      </c>
      <c r="AC45" s="294"/>
      <c r="AD45" s="294"/>
      <c r="AE45" s="292">
        <f t="shared" si="15"/>
        <v>0</v>
      </c>
      <c r="AF45" s="293" t="str">
        <f t="shared" si="16"/>
        <v/>
      </c>
      <c r="AG45" s="289" t="str">
        <f t="shared" si="17"/>
        <v/>
      </c>
      <c r="AI45" s="142">
        <f>IF(R45-(tabellen!$F$8*'wg lasten totaal'!H$8)&lt;0,0,(R45-(tabellen!$F$8*'wg lasten totaal'!H$8))*AI$4)</f>
        <v>0</v>
      </c>
      <c r="AJ45" s="142">
        <f t="shared" si="25"/>
        <v>0</v>
      </c>
    </row>
    <row r="46" spans="2:36" ht="10.9" customHeight="1" x14ac:dyDescent="0.2">
      <c r="B46" s="298"/>
      <c r="C46" s="299"/>
      <c r="D46" s="300"/>
      <c r="E46" s="300"/>
      <c r="F46" s="301" t="str">
        <f t="shared" si="8"/>
        <v/>
      </c>
      <c r="G46" s="300"/>
      <c r="H46" s="302"/>
      <c r="I46" s="143" t="str">
        <f t="shared" si="18"/>
        <v/>
      </c>
      <c r="J46" s="290" t="str">
        <f t="shared" si="19"/>
        <v/>
      </c>
      <c r="K46" s="291" t="str">
        <f t="shared" si="9"/>
        <v/>
      </c>
      <c r="L46" s="291" t="str">
        <f t="shared" si="10"/>
        <v/>
      </c>
      <c r="M46" s="291">
        <f t="shared" si="20"/>
        <v>0</v>
      </c>
      <c r="N46" s="291">
        <f t="shared" si="21"/>
        <v>0</v>
      </c>
      <c r="O46" s="291">
        <f>IF(I46="OOP",IF(D46&lt;9,tabellen!$D$37,tabellen!$D$38),0)*H46</f>
        <v>0</v>
      </c>
      <c r="P46" s="291">
        <f t="shared" si="11"/>
        <v>0</v>
      </c>
      <c r="Q46" s="292" t="e">
        <f>VLOOKUP(F46,tabellen!$C$51:$D$64,2,FALSE)</f>
        <v>#N/A</v>
      </c>
      <c r="R46" s="293">
        <f t="shared" si="22"/>
        <v>0</v>
      </c>
      <c r="S46" s="291">
        <f>IF(R46-(tabellen!$F$8*'wg lasten totaal'!H46)&lt;0,0,(R46-(tabellen!$F$8*'wg lasten totaal'!H46))*S$4)</f>
        <v>0</v>
      </c>
      <c r="T46" s="291">
        <f>IF(R46-(tabellen!$F$9*'wg lasten totaal'!H46)&lt;0,0,(R46-(tabellen!$F$9*'wg lasten totaal'!H46))*T$4)</f>
        <v>0</v>
      </c>
      <c r="U46" s="291">
        <f t="shared" si="23"/>
        <v>0</v>
      </c>
      <c r="V46" s="291">
        <f>IF($AJ46&gt;tabellen!H$11,tabellen!H$11*V$4,$AJ46*V$4)</f>
        <v>0</v>
      </c>
      <c r="W46" s="291">
        <f>IF($AJ46&gt;tabellen!H$13,tabellen!H$13*W$4,$AJ46*W$4)</f>
        <v>0</v>
      </c>
      <c r="X46" s="291">
        <f>IF($AJ46&gt;tabellen!H$14,tabellen!H$14*X$4,$AJ46*X$4)</f>
        <v>0</v>
      </c>
      <c r="Y46" s="291" t="str">
        <f t="shared" si="12"/>
        <v/>
      </c>
      <c r="Z46" s="291" t="str">
        <f t="shared" si="13"/>
        <v/>
      </c>
      <c r="AA46" s="293">
        <f t="shared" si="24"/>
        <v>0</v>
      </c>
      <c r="AB46" s="292" t="str">
        <f t="shared" si="14"/>
        <v/>
      </c>
      <c r="AC46" s="294"/>
      <c r="AD46" s="294"/>
      <c r="AE46" s="292">
        <f t="shared" si="15"/>
        <v>0</v>
      </c>
      <c r="AF46" s="293" t="str">
        <f t="shared" si="16"/>
        <v/>
      </c>
      <c r="AG46" s="289" t="str">
        <f t="shared" si="17"/>
        <v/>
      </c>
      <c r="AI46" s="142">
        <f>IF(R46-(tabellen!$F$8*'wg lasten totaal'!H$8)&lt;0,0,(R46-(tabellen!$F$8*'wg lasten totaal'!H$8))*AI$4)</f>
        <v>0</v>
      </c>
      <c r="AJ46" s="142">
        <f t="shared" si="25"/>
        <v>0</v>
      </c>
    </row>
    <row r="47" spans="2:36" ht="10.9" customHeight="1" x14ac:dyDescent="0.2">
      <c r="B47" s="298"/>
      <c r="C47" s="299"/>
      <c r="D47" s="300"/>
      <c r="E47" s="300"/>
      <c r="F47" s="301" t="str">
        <f t="shared" si="8"/>
        <v/>
      </c>
      <c r="G47" s="300"/>
      <c r="H47" s="302"/>
      <c r="I47" s="143" t="str">
        <f t="shared" si="18"/>
        <v/>
      </c>
      <c r="J47" s="290" t="str">
        <f t="shared" si="19"/>
        <v/>
      </c>
      <c r="K47" s="291" t="str">
        <f t="shared" si="9"/>
        <v/>
      </c>
      <c r="L47" s="291" t="str">
        <f t="shared" si="10"/>
        <v/>
      </c>
      <c r="M47" s="291">
        <f t="shared" si="20"/>
        <v>0</v>
      </c>
      <c r="N47" s="291">
        <f t="shared" si="21"/>
        <v>0</v>
      </c>
      <c r="O47" s="291">
        <f>IF(I47="OOP",IF(D47&lt;9,tabellen!$D$37,tabellen!$D$38),0)*H47</f>
        <v>0</v>
      </c>
      <c r="P47" s="291">
        <f t="shared" si="11"/>
        <v>0</v>
      </c>
      <c r="Q47" s="292" t="e">
        <f>VLOOKUP(F47,tabellen!$C$51:$D$64,2,FALSE)</f>
        <v>#N/A</v>
      </c>
      <c r="R47" s="293">
        <f t="shared" si="22"/>
        <v>0</v>
      </c>
      <c r="S47" s="291">
        <f>IF(R47-(tabellen!$F$8*'wg lasten totaal'!H47)&lt;0,0,(R47-(tabellen!$F$8*'wg lasten totaal'!H47))*S$4)</f>
        <v>0</v>
      </c>
      <c r="T47" s="291">
        <f>IF(R47-(tabellen!$F$9*'wg lasten totaal'!H47)&lt;0,0,(R47-(tabellen!$F$9*'wg lasten totaal'!H47))*T$4)</f>
        <v>0</v>
      </c>
      <c r="U47" s="291">
        <f t="shared" si="23"/>
        <v>0</v>
      </c>
      <c r="V47" s="291">
        <f>IF($AJ47&gt;tabellen!H$11,tabellen!H$11*V$4,$AJ47*V$4)</f>
        <v>0</v>
      </c>
      <c r="W47" s="291">
        <f>IF($AJ47&gt;tabellen!H$13,tabellen!H$13*W$4,$AJ47*W$4)</f>
        <v>0</v>
      </c>
      <c r="X47" s="291">
        <f>IF($AJ47&gt;tabellen!H$14,tabellen!H$14*X$4,$AJ47*X$4)</f>
        <v>0</v>
      </c>
      <c r="Y47" s="291" t="str">
        <f t="shared" si="12"/>
        <v/>
      </c>
      <c r="Z47" s="291" t="str">
        <f t="shared" si="13"/>
        <v/>
      </c>
      <c r="AA47" s="293">
        <f t="shared" si="24"/>
        <v>0</v>
      </c>
      <c r="AB47" s="292" t="str">
        <f t="shared" si="14"/>
        <v/>
      </c>
      <c r="AC47" s="294"/>
      <c r="AD47" s="294"/>
      <c r="AE47" s="292">
        <f t="shared" si="15"/>
        <v>0</v>
      </c>
      <c r="AF47" s="293" t="str">
        <f t="shared" si="16"/>
        <v/>
      </c>
      <c r="AG47" s="289" t="str">
        <f t="shared" si="17"/>
        <v/>
      </c>
      <c r="AI47" s="142">
        <f>IF(R47-(tabellen!$F$8*'wg lasten totaal'!H$8)&lt;0,0,(R47-(tabellen!$F$8*'wg lasten totaal'!H$8))*AI$4)</f>
        <v>0</v>
      </c>
      <c r="AJ47" s="142">
        <f t="shared" si="25"/>
        <v>0</v>
      </c>
    </row>
    <row r="48" spans="2:36" ht="10.9" customHeight="1" x14ac:dyDescent="0.2">
      <c r="B48" s="298"/>
      <c r="C48" s="299"/>
      <c r="D48" s="300"/>
      <c r="E48" s="300"/>
      <c r="F48" s="301" t="str">
        <f t="shared" si="8"/>
        <v/>
      </c>
      <c r="G48" s="300"/>
      <c r="H48" s="302"/>
      <c r="I48" s="143" t="str">
        <f t="shared" si="18"/>
        <v/>
      </c>
      <c r="J48" s="290" t="str">
        <f t="shared" si="19"/>
        <v/>
      </c>
      <c r="K48" s="291" t="str">
        <f t="shared" si="9"/>
        <v/>
      </c>
      <c r="L48" s="291" t="str">
        <f t="shared" si="10"/>
        <v/>
      </c>
      <c r="M48" s="291">
        <f t="shared" si="20"/>
        <v>0</v>
      </c>
      <c r="N48" s="291">
        <f t="shared" si="21"/>
        <v>0</v>
      </c>
      <c r="O48" s="291">
        <f>IF(I48="OOP",IF(D48&lt;9,tabellen!$D$37,tabellen!$D$38),0)*H48</f>
        <v>0</v>
      </c>
      <c r="P48" s="291">
        <f t="shared" si="11"/>
        <v>0</v>
      </c>
      <c r="Q48" s="292" t="e">
        <f>VLOOKUP(F48,tabellen!$C$51:$D$64,2,FALSE)</f>
        <v>#N/A</v>
      </c>
      <c r="R48" s="293">
        <f t="shared" si="22"/>
        <v>0</v>
      </c>
      <c r="S48" s="291">
        <f>IF(R48-(tabellen!$F$8*'wg lasten totaal'!H48)&lt;0,0,(R48-(tabellen!$F$8*'wg lasten totaal'!H48))*S$4)</f>
        <v>0</v>
      </c>
      <c r="T48" s="291">
        <f>IF(R48-(tabellen!$F$9*'wg lasten totaal'!H48)&lt;0,0,(R48-(tabellen!$F$9*'wg lasten totaal'!H48))*T$4)</f>
        <v>0</v>
      </c>
      <c r="U48" s="291">
        <f t="shared" si="23"/>
        <v>0</v>
      </c>
      <c r="V48" s="291">
        <f>IF($AJ48&gt;tabellen!H$11,tabellen!H$11*V$4,$AJ48*V$4)</f>
        <v>0</v>
      </c>
      <c r="W48" s="291">
        <f>IF($AJ48&gt;tabellen!H$13,tabellen!H$13*W$4,$AJ48*W$4)</f>
        <v>0</v>
      </c>
      <c r="X48" s="291">
        <f>IF($AJ48&gt;tabellen!H$14,tabellen!H$14*X$4,$AJ48*X$4)</f>
        <v>0</v>
      </c>
      <c r="Y48" s="291" t="str">
        <f t="shared" si="12"/>
        <v/>
      </c>
      <c r="Z48" s="291" t="str">
        <f t="shared" si="13"/>
        <v/>
      </c>
      <c r="AA48" s="293">
        <f t="shared" si="24"/>
        <v>0</v>
      </c>
      <c r="AB48" s="292" t="str">
        <f t="shared" si="14"/>
        <v/>
      </c>
      <c r="AC48" s="294"/>
      <c r="AD48" s="294"/>
      <c r="AE48" s="292">
        <f t="shared" si="15"/>
        <v>0</v>
      </c>
      <c r="AF48" s="293" t="str">
        <f t="shared" si="16"/>
        <v/>
      </c>
      <c r="AG48" s="289" t="str">
        <f t="shared" si="17"/>
        <v/>
      </c>
      <c r="AI48" s="142">
        <f>IF(R48-(tabellen!$F$8*'wg lasten totaal'!H$8)&lt;0,0,(R48-(tabellen!$F$8*'wg lasten totaal'!H$8))*AI$4)</f>
        <v>0</v>
      </c>
      <c r="AJ48" s="142">
        <f t="shared" si="25"/>
        <v>0</v>
      </c>
    </row>
    <row r="49" spans="2:36" ht="10.9" customHeight="1" x14ac:dyDescent="0.2">
      <c r="B49" s="298"/>
      <c r="C49" s="299"/>
      <c r="D49" s="300"/>
      <c r="E49" s="300"/>
      <c r="F49" s="301" t="str">
        <f t="shared" si="8"/>
        <v/>
      </c>
      <c r="G49" s="300"/>
      <c r="H49" s="302"/>
      <c r="I49" s="143" t="str">
        <f t="shared" si="18"/>
        <v/>
      </c>
      <c r="J49" s="290" t="str">
        <f t="shared" si="19"/>
        <v/>
      </c>
      <c r="K49" s="291" t="str">
        <f t="shared" si="9"/>
        <v/>
      </c>
      <c r="L49" s="291" t="str">
        <f t="shared" si="10"/>
        <v/>
      </c>
      <c r="M49" s="291">
        <f t="shared" si="20"/>
        <v>0</v>
      </c>
      <c r="N49" s="291">
        <f t="shared" si="21"/>
        <v>0</v>
      </c>
      <c r="O49" s="291">
        <f>IF(I49="OOP",IF(D49&lt;9,tabellen!$D$37,tabellen!$D$38),0)*H49</f>
        <v>0</v>
      </c>
      <c r="P49" s="291">
        <f t="shared" si="11"/>
        <v>0</v>
      </c>
      <c r="Q49" s="292" t="e">
        <f>VLOOKUP(F49,tabellen!$C$51:$D$64,2,FALSE)</f>
        <v>#N/A</v>
      </c>
      <c r="R49" s="293">
        <f t="shared" si="22"/>
        <v>0</v>
      </c>
      <c r="S49" s="291">
        <f>IF(R49-(tabellen!$F$8*'wg lasten totaal'!H49)&lt;0,0,(R49-(tabellen!$F$8*'wg lasten totaal'!H49))*S$4)</f>
        <v>0</v>
      </c>
      <c r="T49" s="291">
        <f>IF(R49-(tabellen!$F$9*'wg lasten totaal'!H49)&lt;0,0,(R49-(tabellen!$F$9*'wg lasten totaal'!H49))*T$4)</f>
        <v>0</v>
      </c>
      <c r="U49" s="291">
        <f t="shared" si="23"/>
        <v>0</v>
      </c>
      <c r="V49" s="291">
        <f>IF($AJ49&gt;tabellen!H$11,tabellen!H$11*V$4,$AJ49*V$4)</f>
        <v>0</v>
      </c>
      <c r="W49" s="291">
        <f>IF($AJ49&gt;tabellen!H$13,tabellen!H$13*W$4,$AJ49*W$4)</f>
        <v>0</v>
      </c>
      <c r="X49" s="291">
        <f>IF($AJ49&gt;tabellen!H$14,tabellen!H$14*X$4,$AJ49*X$4)</f>
        <v>0</v>
      </c>
      <c r="Y49" s="291" t="str">
        <f t="shared" si="12"/>
        <v/>
      </c>
      <c r="Z49" s="291" t="str">
        <f t="shared" si="13"/>
        <v/>
      </c>
      <c r="AA49" s="293">
        <f t="shared" si="24"/>
        <v>0</v>
      </c>
      <c r="AB49" s="292" t="str">
        <f t="shared" si="14"/>
        <v/>
      </c>
      <c r="AC49" s="294"/>
      <c r="AD49" s="294"/>
      <c r="AE49" s="292">
        <f t="shared" si="15"/>
        <v>0</v>
      </c>
      <c r="AF49" s="293" t="str">
        <f t="shared" si="16"/>
        <v/>
      </c>
      <c r="AG49" s="289" t="str">
        <f t="shared" si="17"/>
        <v/>
      </c>
      <c r="AI49" s="142">
        <f>IF(R49-(tabellen!$F$8*'wg lasten totaal'!H$8)&lt;0,0,(R49-(tabellen!$F$8*'wg lasten totaal'!H$8))*AI$4)</f>
        <v>0</v>
      </c>
      <c r="AJ49" s="142">
        <f t="shared" si="25"/>
        <v>0</v>
      </c>
    </row>
    <row r="50" spans="2:36" ht="10.9" customHeight="1" x14ac:dyDescent="0.2">
      <c r="B50" s="298"/>
      <c r="C50" s="299"/>
      <c r="D50" s="300"/>
      <c r="E50" s="300"/>
      <c r="F50" s="301" t="str">
        <f t="shared" si="8"/>
        <v/>
      </c>
      <c r="G50" s="300"/>
      <c r="H50" s="302"/>
      <c r="I50" s="143" t="str">
        <f t="shared" si="18"/>
        <v/>
      </c>
      <c r="J50" s="290" t="str">
        <f t="shared" si="19"/>
        <v/>
      </c>
      <c r="K50" s="291" t="str">
        <f t="shared" si="9"/>
        <v/>
      </c>
      <c r="L50" s="291" t="str">
        <f t="shared" si="10"/>
        <v/>
      </c>
      <c r="M50" s="291">
        <f t="shared" si="20"/>
        <v>0</v>
      </c>
      <c r="N50" s="291">
        <f t="shared" si="21"/>
        <v>0</v>
      </c>
      <c r="O50" s="291">
        <f>IF(I50="OOP",IF(D50&lt;9,tabellen!$D$37,tabellen!$D$38),0)*H50</f>
        <v>0</v>
      </c>
      <c r="P50" s="291">
        <f t="shared" si="11"/>
        <v>0</v>
      </c>
      <c r="Q50" s="292" t="e">
        <f>VLOOKUP(F50,tabellen!$C$51:$D$64,2,FALSE)</f>
        <v>#N/A</v>
      </c>
      <c r="R50" s="293">
        <f t="shared" si="22"/>
        <v>0</v>
      </c>
      <c r="S50" s="291">
        <f>IF(R50-(tabellen!$F$8*'wg lasten totaal'!H50)&lt;0,0,(R50-(tabellen!$F$8*'wg lasten totaal'!H50))*S$4)</f>
        <v>0</v>
      </c>
      <c r="T50" s="291">
        <f>IF(R50-(tabellen!$F$9*'wg lasten totaal'!H50)&lt;0,0,(R50-(tabellen!$F$9*'wg lasten totaal'!H50))*T$4)</f>
        <v>0</v>
      </c>
      <c r="U50" s="291">
        <f t="shared" si="23"/>
        <v>0</v>
      </c>
      <c r="V50" s="291">
        <f>IF($AJ50&gt;tabellen!H$11,tabellen!H$11*V$4,$AJ50*V$4)</f>
        <v>0</v>
      </c>
      <c r="W50" s="291">
        <f>IF($AJ50&gt;tabellen!H$13,tabellen!H$13*W$4,$AJ50*W$4)</f>
        <v>0</v>
      </c>
      <c r="X50" s="291">
        <f>IF($AJ50&gt;tabellen!H$14,tabellen!H$14*X$4,$AJ50*X$4)</f>
        <v>0</v>
      </c>
      <c r="Y50" s="291" t="str">
        <f t="shared" si="12"/>
        <v/>
      </c>
      <c r="Z50" s="291" t="str">
        <f t="shared" si="13"/>
        <v/>
      </c>
      <c r="AA50" s="293">
        <f t="shared" si="24"/>
        <v>0</v>
      </c>
      <c r="AB50" s="292" t="str">
        <f t="shared" si="14"/>
        <v/>
      </c>
      <c r="AC50" s="294"/>
      <c r="AD50" s="294"/>
      <c r="AE50" s="292">
        <f t="shared" si="15"/>
        <v>0</v>
      </c>
      <c r="AF50" s="293" t="str">
        <f t="shared" si="16"/>
        <v/>
      </c>
      <c r="AG50" s="289" t="str">
        <f t="shared" si="17"/>
        <v/>
      </c>
      <c r="AI50" s="142">
        <f>IF(R50-(tabellen!$F$8*'wg lasten totaal'!H$8)&lt;0,0,(R50-(tabellen!$F$8*'wg lasten totaal'!H$8))*AI$4)</f>
        <v>0</v>
      </c>
      <c r="AJ50" s="142">
        <f t="shared" si="25"/>
        <v>0</v>
      </c>
    </row>
    <row r="51" spans="2:36" ht="10.9" customHeight="1" x14ac:dyDescent="0.2">
      <c r="B51" s="298"/>
      <c r="C51" s="299"/>
      <c r="D51" s="300"/>
      <c r="E51" s="300"/>
      <c r="F51" s="301" t="str">
        <f t="shared" si="8"/>
        <v/>
      </c>
      <c r="G51" s="300"/>
      <c r="H51" s="302"/>
      <c r="I51" s="143" t="str">
        <f t="shared" si="18"/>
        <v/>
      </c>
      <c r="J51" s="290" t="str">
        <f t="shared" si="19"/>
        <v/>
      </c>
      <c r="K51" s="291" t="str">
        <f t="shared" si="9"/>
        <v/>
      </c>
      <c r="L51" s="291" t="str">
        <f t="shared" si="10"/>
        <v/>
      </c>
      <c r="M51" s="291">
        <f t="shared" si="20"/>
        <v>0</v>
      </c>
      <c r="N51" s="291">
        <f t="shared" si="21"/>
        <v>0</v>
      </c>
      <c r="O51" s="291">
        <f>IF(I51="OOP",IF(D51&lt;9,tabellen!$D$37,tabellen!$D$38),0)*H51</f>
        <v>0</v>
      </c>
      <c r="P51" s="291">
        <f t="shared" si="11"/>
        <v>0</v>
      </c>
      <c r="Q51" s="292" t="e">
        <f>VLOOKUP(F51,tabellen!$C$51:$D$64,2,FALSE)</f>
        <v>#N/A</v>
      </c>
      <c r="R51" s="293">
        <f t="shared" si="22"/>
        <v>0</v>
      </c>
      <c r="S51" s="291">
        <f>IF(R51-(tabellen!$F$8*'wg lasten totaal'!H51)&lt;0,0,(R51-(tabellen!$F$8*'wg lasten totaal'!H51))*S$4)</f>
        <v>0</v>
      </c>
      <c r="T51" s="291">
        <f>IF(R51-(tabellen!$F$9*'wg lasten totaal'!H51)&lt;0,0,(R51-(tabellen!$F$9*'wg lasten totaal'!H51))*T$4)</f>
        <v>0</v>
      </c>
      <c r="U51" s="291">
        <f t="shared" si="23"/>
        <v>0</v>
      </c>
      <c r="V51" s="291">
        <f>IF($AJ51&gt;tabellen!H$11,tabellen!H$11*V$4,$AJ51*V$4)</f>
        <v>0</v>
      </c>
      <c r="W51" s="291">
        <f>IF($AJ51&gt;tabellen!H$13,tabellen!H$13*W$4,$AJ51*W$4)</f>
        <v>0</v>
      </c>
      <c r="X51" s="291">
        <f>IF($AJ51&gt;tabellen!H$14,tabellen!H$14*X$4,$AJ51*X$4)</f>
        <v>0</v>
      </c>
      <c r="Y51" s="291" t="str">
        <f t="shared" si="12"/>
        <v/>
      </c>
      <c r="Z51" s="291" t="str">
        <f t="shared" si="13"/>
        <v/>
      </c>
      <c r="AA51" s="293">
        <f t="shared" si="24"/>
        <v>0</v>
      </c>
      <c r="AB51" s="292" t="str">
        <f t="shared" si="14"/>
        <v/>
      </c>
      <c r="AC51" s="294"/>
      <c r="AD51" s="294"/>
      <c r="AE51" s="292">
        <f t="shared" si="15"/>
        <v>0</v>
      </c>
      <c r="AF51" s="293" t="str">
        <f t="shared" si="16"/>
        <v/>
      </c>
      <c r="AG51" s="289" t="str">
        <f t="shared" si="17"/>
        <v/>
      </c>
      <c r="AI51" s="142">
        <f>IF(R51-(tabellen!$F$8*'wg lasten totaal'!H$8)&lt;0,0,(R51-(tabellen!$F$8*'wg lasten totaal'!H$8))*AI$4)</f>
        <v>0</v>
      </c>
      <c r="AJ51" s="142">
        <f t="shared" si="25"/>
        <v>0</v>
      </c>
    </row>
    <row r="52" spans="2:36" ht="10.9" customHeight="1" x14ac:dyDescent="0.2">
      <c r="B52" s="298"/>
      <c r="C52" s="299"/>
      <c r="D52" s="300"/>
      <c r="E52" s="300"/>
      <c r="F52" s="301" t="str">
        <f t="shared" si="8"/>
        <v/>
      </c>
      <c r="G52" s="300"/>
      <c r="H52" s="302"/>
      <c r="I52" s="143" t="str">
        <f t="shared" si="18"/>
        <v/>
      </c>
      <c r="J52" s="290" t="str">
        <f t="shared" si="19"/>
        <v/>
      </c>
      <c r="K52" s="291" t="str">
        <f t="shared" si="9"/>
        <v/>
      </c>
      <c r="L52" s="291" t="str">
        <f t="shared" si="10"/>
        <v/>
      </c>
      <c r="M52" s="291">
        <f t="shared" si="20"/>
        <v>0</v>
      </c>
      <c r="N52" s="291">
        <f t="shared" si="21"/>
        <v>0</v>
      </c>
      <c r="O52" s="291">
        <f>IF(I52="OOP",IF(D52&lt;9,tabellen!$D$37,tabellen!$D$38),0)*H52</f>
        <v>0</v>
      </c>
      <c r="P52" s="291">
        <f t="shared" si="11"/>
        <v>0</v>
      </c>
      <c r="Q52" s="292" t="e">
        <f>VLOOKUP(F52,tabellen!$C$51:$D$64,2,FALSE)</f>
        <v>#N/A</v>
      </c>
      <c r="R52" s="293">
        <f t="shared" si="22"/>
        <v>0</v>
      </c>
      <c r="S52" s="291">
        <f>IF(R52-(tabellen!$F$8*'wg lasten totaal'!H52)&lt;0,0,(R52-(tabellen!$F$8*'wg lasten totaal'!H52))*S$4)</f>
        <v>0</v>
      </c>
      <c r="T52" s="291">
        <f>IF(R52-(tabellen!$F$9*'wg lasten totaal'!H52)&lt;0,0,(R52-(tabellen!$F$9*'wg lasten totaal'!H52))*T$4)</f>
        <v>0</v>
      </c>
      <c r="U52" s="291">
        <f t="shared" si="23"/>
        <v>0</v>
      </c>
      <c r="V52" s="291">
        <f>IF($AJ52&gt;tabellen!H$11,tabellen!H$11*V$4,$AJ52*V$4)</f>
        <v>0</v>
      </c>
      <c r="W52" s="291">
        <f>IF($AJ52&gt;tabellen!H$13,tabellen!H$13*W$4,$AJ52*W$4)</f>
        <v>0</v>
      </c>
      <c r="X52" s="291">
        <f>IF($AJ52&gt;tabellen!H$14,tabellen!H$14*X$4,$AJ52*X$4)</f>
        <v>0</v>
      </c>
      <c r="Y52" s="291" t="str">
        <f t="shared" si="12"/>
        <v/>
      </c>
      <c r="Z52" s="291" t="str">
        <f t="shared" si="13"/>
        <v/>
      </c>
      <c r="AA52" s="293">
        <f t="shared" si="24"/>
        <v>0</v>
      </c>
      <c r="AB52" s="292" t="str">
        <f t="shared" si="14"/>
        <v/>
      </c>
      <c r="AC52" s="294"/>
      <c r="AD52" s="294"/>
      <c r="AE52" s="292">
        <f t="shared" si="15"/>
        <v>0</v>
      </c>
      <c r="AF52" s="293" t="str">
        <f t="shared" si="16"/>
        <v/>
      </c>
      <c r="AG52" s="289" t="str">
        <f t="shared" si="17"/>
        <v/>
      </c>
      <c r="AI52" s="142">
        <f>IF(R52-(tabellen!$F$8*'wg lasten totaal'!H$8)&lt;0,0,(R52-(tabellen!$F$8*'wg lasten totaal'!H$8))*AI$4)</f>
        <v>0</v>
      </c>
      <c r="AJ52" s="142">
        <f t="shared" si="25"/>
        <v>0</v>
      </c>
    </row>
    <row r="53" spans="2:36" ht="10.9" customHeight="1" x14ac:dyDescent="0.2">
      <c r="B53" s="298"/>
      <c r="C53" s="299"/>
      <c r="D53" s="300"/>
      <c r="E53" s="300"/>
      <c r="F53" s="301" t="str">
        <f t="shared" si="8"/>
        <v/>
      </c>
      <c r="G53" s="300"/>
      <c r="H53" s="302"/>
      <c r="I53" s="143" t="str">
        <f t="shared" si="18"/>
        <v/>
      </c>
      <c r="J53" s="290" t="str">
        <f t="shared" si="19"/>
        <v/>
      </c>
      <c r="K53" s="291" t="str">
        <f t="shared" si="9"/>
        <v/>
      </c>
      <c r="L53" s="291" t="str">
        <f t="shared" si="10"/>
        <v/>
      </c>
      <c r="M53" s="291">
        <f t="shared" si="20"/>
        <v>0</v>
      </c>
      <c r="N53" s="291">
        <f t="shared" si="21"/>
        <v>0</v>
      </c>
      <c r="O53" s="291">
        <f>IF(I53="OOP",IF(D53&lt;9,tabellen!$D$37,tabellen!$D$38),0)*H53</f>
        <v>0</v>
      </c>
      <c r="P53" s="291">
        <f t="shared" si="11"/>
        <v>0</v>
      </c>
      <c r="Q53" s="292" t="e">
        <f>VLOOKUP(F53,tabellen!$C$51:$D$64,2,FALSE)</f>
        <v>#N/A</v>
      </c>
      <c r="R53" s="293">
        <f t="shared" si="22"/>
        <v>0</v>
      </c>
      <c r="S53" s="291">
        <f>IF(R53-(tabellen!$F$8*'wg lasten totaal'!H53)&lt;0,0,(R53-(tabellen!$F$8*'wg lasten totaal'!H53))*S$4)</f>
        <v>0</v>
      </c>
      <c r="T53" s="291">
        <f>IF(R53-(tabellen!$F$9*'wg lasten totaal'!H53)&lt;0,0,(R53-(tabellen!$F$9*'wg lasten totaal'!H53))*T$4)</f>
        <v>0</v>
      </c>
      <c r="U53" s="291">
        <f t="shared" si="23"/>
        <v>0</v>
      </c>
      <c r="V53" s="291">
        <f>IF($AJ53&gt;tabellen!H$11,tabellen!H$11*V$4,$AJ53*V$4)</f>
        <v>0</v>
      </c>
      <c r="W53" s="291">
        <f>IF($AJ53&gt;tabellen!H$13,tabellen!H$13*W$4,$AJ53*W$4)</f>
        <v>0</v>
      </c>
      <c r="X53" s="291">
        <f>IF($AJ53&gt;tabellen!H$14,tabellen!H$14*X$4,$AJ53*X$4)</f>
        <v>0</v>
      </c>
      <c r="Y53" s="291" t="str">
        <f t="shared" si="12"/>
        <v/>
      </c>
      <c r="Z53" s="291" t="str">
        <f t="shared" si="13"/>
        <v/>
      </c>
      <c r="AA53" s="293">
        <f t="shared" si="24"/>
        <v>0</v>
      </c>
      <c r="AB53" s="292" t="str">
        <f t="shared" si="14"/>
        <v/>
      </c>
      <c r="AC53" s="294"/>
      <c r="AD53" s="294"/>
      <c r="AE53" s="292">
        <f t="shared" si="15"/>
        <v>0</v>
      </c>
      <c r="AF53" s="293" t="str">
        <f t="shared" si="16"/>
        <v/>
      </c>
      <c r="AG53" s="289" t="str">
        <f t="shared" si="17"/>
        <v/>
      </c>
      <c r="AI53" s="142">
        <f>IF(R53-(tabellen!$F$8*'wg lasten totaal'!H$8)&lt;0,0,(R53-(tabellen!$F$8*'wg lasten totaal'!H$8))*AI$4)</f>
        <v>0</v>
      </c>
      <c r="AJ53" s="142">
        <f t="shared" si="25"/>
        <v>0</v>
      </c>
    </row>
    <row r="54" spans="2:36" ht="10.9" customHeight="1" x14ac:dyDescent="0.2">
      <c r="B54" s="298"/>
      <c r="C54" s="299"/>
      <c r="D54" s="300"/>
      <c r="E54" s="300"/>
      <c r="F54" s="301" t="str">
        <f t="shared" si="8"/>
        <v/>
      </c>
      <c r="G54" s="300"/>
      <c r="H54" s="302"/>
      <c r="I54" s="143" t="str">
        <f t="shared" si="18"/>
        <v/>
      </c>
      <c r="J54" s="290" t="str">
        <f t="shared" si="19"/>
        <v/>
      </c>
      <c r="K54" s="291" t="str">
        <f t="shared" si="9"/>
        <v/>
      </c>
      <c r="L54" s="291" t="str">
        <f t="shared" si="10"/>
        <v/>
      </c>
      <c r="M54" s="291">
        <f t="shared" si="20"/>
        <v>0</v>
      </c>
      <c r="N54" s="291">
        <f t="shared" si="21"/>
        <v>0</v>
      </c>
      <c r="O54" s="291">
        <f>IF(I54="OOP",IF(D54&lt;9,tabellen!$D$37,tabellen!$D$38),0)*H54</f>
        <v>0</v>
      </c>
      <c r="P54" s="291">
        <f t="shared" si="11"/>
        <v>0</v>
      </c>
      <c r="Q54" s="292" t="e">
        <f>VLOOKUP(F54,tabellen!$C$51:$D$64,2,FALSE)</f>
        <v>#N/A</v>
      </c>
      <c r="R54" s="293">
        <f t="shared" si="22"/>
        <v>0</v>
      </c>
      <c r="S54" s="291">
        <f>IF(R54-(tabellen!$F$8*'wg lasten totaal'!H54)&lt;0,0,(R54-(tabellen!$F$8*'wg lasten totaal'!H54))*S$4)</f>
        <v>0</v>
      </c>
      <c r="T54" s="291">
        <f>IF(R54-(tabellen!$F$9*'wg lasten totaal'!H54)&lt;0,0,(R54-(tabellen!$F$9*'wg lasten totaal'!H54))*T$4)</f>
        <v>0</v>
      </c>
      <c r="U54" s="291">
        <f t="shared" si="23"/>
        <v>0</v>
      </c>
      <c r="V54" s="291">
        <f>IF($AJ54&gt;tabellen!H$11,tabellen!H$11*V$4,$AJ54*V$4)</f>
        <v>0</v>
      </c>
      <c r="W54" s="291">
        <f>IF($AJ54&gt;tabellen!H$13,tabellen!H$13*W$4,$AJ54*W$4)</f>
        <v>0</v>
      </c>
      <c r="X54" s="291">
        <f>IF($AJ54&gt;tabellen!H$14,tabellen!H$14*X$4,$AJ54*X$4)</f>
        <v>0</v>
      </c>
      <c r="Y54" s="291" t="str">
        <f t="shared" si="12"/>
        <v/>
      </c>
      <c r="Z54" s="291" t="str">
        <f t="shared" si="13"/>
        <v/>
      </c>
      <c r="AA54" s="293">
        <f t="shared" si="24"/>
        <v>0</v>
      </c>
      <c r="AB54" s="292" t="str">
        <f t="shared" si="14"/>
        <v/>
      </c>
      <c r="AC54" s="294"/>
      <c r="AD54" s="294"/>
      <c r="AE54" s="292">
        <f t="shared" si="15"/>
        <v>0</v>
      </c>
      <c r="AF54" s="293" t="str">
        <f t="shared" si="16"/>
        <v/>
      </c>
      <c r="AG54" s="289" t="str">
        <f t="shared" si="17"/>
        <v/>
      </c>
      <c r="AI54" s="142">
        <f>IF(R54-(tabellen!$F$8*'wg lasten totaal'!H$8)&lt;0,0,(R54-(tabellen!$F$8*'wg lasten totaal'!H$8))*AI$4)</f>
        <v>0</v>
      </c>
      <c r="AJ54" s="142">
        <f t="shared" si="25"/>
        <v>0</v>
      </c>
    </row>
    <row r="55" spans="2:36" ht="10.9" customHeight="1" x14ac:dyDescent="0.2">
      <c r="B55" s="298"/>
      <c r="C55" s="299"/>
      <c r="D55" s="300"/>
      <c r="E55" s="300"/>
      <c r="F55" s="301" t="str">
        <f t="shared" si="8"/>
        <v/>
      </c>
      <c r="G55" s="300"/>
      <c r="H55" s="302"/>
      <c r="I55" s="143" t="str">
        <f t="shared" si="18"/>
        <v/>
      </c>
      <c r="J55" s="290" t="str">
        <f t="shared" si="19"/>
        <v/>
      </c>
      <c r="K55" s="291" t="str">
        <f t="shared" si="9"/>
        <v/>
      </c>
      <c r="L55" s="291" t="str">
        <f t="shared" si="10"/>
        <v/>
      </c>
      <c r="M55" s="291">
        <f t="shared" si="20"/>
        <v>0</v>
      </c>
      <c r="N55" s="291">
        <f t="shared" si="21"/>
        <v>0</v>
      </c>
      <c r="O55" s="291">
        <f>IF(I55="OOP",IF(D55&lt;9,tabellen!$D$37,tabellen!$D$38),0)*H55</f>
        <v>0</v>
      </c>
      <c r="P55" s="291">
        <f t="shared" si="11"/>
        <v>0</v>
      </c>
      <c r="Q55" s="292" t="e">
        <f>VLOOKUP(F55,tabellen!$C$51:$D$64,2,FALSE)</f>
        <v>#N/A</v>
      </c>
      <c r="R55" s="293">
        <f t="shared" si="22"/>
        <v>0</v>
      </c>
      <c r="S55" s="291">
        <f>IF(R55-(tabellen!$F$8*'wg lasten totaal'!H55)&lt;0,0,(R55-(tabellen!$F$8*'wg lasten totaal'!H55))*S$4)</f>
        <v>0</v>
      </c>
      <c r="T55" s="291">
        <f>IF(R55-(tabellen!$F$9*'wg lasten totaal'!H55)&lt;0,0,(R55-(tabellen!$F$9*'wg lasten totaal'!H55))*T$4)</f>
        <v>0</v>
      </c>
      <c r="U55" s="291">
        <f t="shared" si="23"/>
        <v>0</v>
      </c>
      <c r="V55" s="291">
        <f>IF($AJ55&gt;tabellen!H$11,tabellen!H$11*V$4,$AJ55*V$4)</f>
        <v>0</v>
      </c>
      <c r="W55" s="291">
        <f>IF($AJ55&gt;tabellen!H$13,tabellen!H$13*W$4,$AJ55*W$4)</f>
        <v>0</v>
      </c>
      <c r="X55" s="291">
        <f>IF($AJ55&gt;tabellen!H$14,tabellen!H$14*X$4,$AJ55*X$4)</f>
        <v>0</v>
      </c>
      <c r="Y55" s="291" t="str">
        <f t="shared" si="12"/>
        <v/>
      </c>
      <c r="Z55" s="291" t="str">
        <f t="shared" si="13"/>
        <v/>
      </c>
      <c r="AA55" s="293">
        <f t="shared" si="24"/>
        <v>0</v>
      </c>
      <c r="AB55" s="292" t="str">
        <f t="shared" si="14"/>
        <v/>
      </c>
      <c r="AC55" s="294"/>
      <c r="AD55" s="294"/>
      <c r="AE55" s="292">
        <f t="shared" si="15"/>
        <v>0</v>
      </c>
      <c r="AF55" s="293" t="str">
        <f t="shared" si="16"/>
        <v/>
      </c>
      <c r="AG55" s="289" t="str">
        <f t="shared" si="17"/>
        <v/>
      </c>
      <c r="AI55" s="142">
        <f>IF(R55-(tabellen!$F$8*'wg lasten totaal'!H$8)&lt;0,0,(R55-(tabellen!$F$8*'wg lasten totaal'!H$8))*AI$4)</f>
        <v>0</v>
      </c>
      <c r="AJ55" s="142">
        <f t="shared" si="25"/>
        <v>0</v>
      </c>
    </row>
    <row r="56" spans="2:36" ht="10.9" customHeight="1" x14ac:dyDescent="0.2">
      <c r="B56" s="298"/>
      <c r="C56" s="299"/>
      <c r="D56" s="300"/>
      <c r="E56" s="300"/>
      <c r="F56" s="301" t="str">
        <f t="shared" si="8"/>
        <v/>
      </c>
      <c r="G56" s="300"/>
      <c r="H56" s="302"/>
      <c r="I56" s="143" t="str">
        <f t="shared" si="18"/>
        <v/>
      </c>
      <c r="J56" s="290" t="str">
        <f t="shared" si="19"/>
        <v/>
      </c>
      <c r="K56" s="291" t="str">
        <f t="shared" si="9"/>
        <v/>
      </c>
      <c r="L56" s="291" t="str">
        <f t="shared" si="10"/>
        <v/>
      </c>
      <c r="M56" s="291">
        <f t="shared" si="20"/>
        <v>0</v>
      </c>
      <c r="N56" s="291">
        <f t="shared" si="21"/>
        <v>0</v>
      </c>
      <c r="O56" s="291">
        <f>IF(I56="OOP",IF(D56&lt;9,tabellen!$D$37,tabellen!$D$38),0)*H56</f>
        <v>0</v>
      </c>
      <c r="P56" s="291">
        <f t="shared" si="11"/>
        <v>0</v>
      </c>
      <c r="Q56" s="292" t="e">
        <f>VLOOKUP(F56,tabellen!$C$51:$D$64,2,FALSE)</f>
        <v>#N/A</v>
      </c>
      <c r="R56" s="293">
        <f t="shared" si="22"/>
        <v>0</v>
      </c>
      <c r="S56" s="291">
        <f>IF(R56-(tabellen!$F$8*'wg lasten totaal'!H56)&lt;0,0,(R56-(tabellen!$F$8*'wg lasten totaal'!H56))*S$4)</f>
        <v>0</v>
      </c>
      <c r="T56" s="291">
        <f>IF(R56-(tabellen!$F$9*'wg lasten totaal'!H56)&lt;0,0,(R56-(tabellen!$F$9*'wg lasten totaal'!H56))*T$4)</f>
        <v>0</v>
      </c>
      <c r="U56" s="291">
        <f t="shared" si="23"/>
        <v>0</v>
      </c>
      <c r="V56" s="291">
        <f>IF($AJ56&gt;tabellen!H$11,tabellen!H$11*V$4,$AJ56*V$4)</f>
        <v>0</v>
      </c>
      <c r="W56" s="291">
        <f>IF($AJ56&gt;tabellen!H$13,tabellen!H$13*W$4,$AJ56*W$4)</f>
        <v>0</v>
      </c>
      <c r="X56" s="291">
        <f>IF($AJ56&gt;tabellen!H$14,tabellen!H$14*X$4,$AJ56*X$4)</f>
        <v>0</v>
      </c>
      <c r="Y56" s="291" t="str">
        <f t="shared" si="12"/>
        <v/>
      </c>
      <c r="Z56" s="291" t="str">
        <f t="shared" si="13"/>
        <v/>
      </c>
      <c r="AA56" s="293">
        <f t="shared" si="24"/>
        <v>0</v>
      </c>
      <c r="AB56" s="292" t="str">
        <f t="shared" si="14"/>
        <v/>
      </c>
      <c r="AC56" s="294"/>
      <c r="AD56" s="294"/>
      <c r="AE56" s="292">
        <f t="shared" si="15"/>
        <v>0</v>
      </c>
      <c r="AF56" s="293" t="str">
        <f t="shared" si="16"/>
        <v/>
      </c>
      <c r="AG56" s="289" t="str">
        <f t="shared" si="17"/>
        <v/>
      </c>
      <c r="AI56" s="142">
        <f>IF(R56-(tabellen!$F$8*'wg lasten totaal'!H$8)&lt;0,0,(R56-(tabellen!$F$8*'wg lasten totaal'!H$8))*AI$4)</f>
        <v>0</v>
      </c>
      <c r="AJ56" s="142">
        <f t="shared" si="25"/>
        <v>0</v>
      </c>
    </row>
    <row r="57" spans="2:36" ht="10.9" customHeight="1" x14ac:dyDescent="0.2">
      <c r="B57" s="298"/>
      <c r="C57" s="299"/>
      <c r="D57" s="300"/>
      <c r="E57" s="300"/>
      <c r="F57" s="301" t="str">
        <f t="shared" si="8"/>
        <v/>
      </c>
      <c r="G57" s="300"/>
      <c r="H57" s="302"/>
      <c r="I57" s="143" t="str">
        <f t="shared" si="18"/>
        <v/>
      </c>
      <c r="J57" s="290" t="str">
        <f t="shared" si="19"/>
        <v/>
      </c>
      <c r="K57" s="291" t="str">
        <f t="shared" si="9"/>
        <v/>
      </c>
      <c r="L57" s="291" t="str">
        <f t="shared" si="10"/>
        <v/>
      </c>
      <c r="M57" s="291">
        <f t="shared" si="20"/>
        <v>0</v>
      </c>
      <c r="N57" s="291">
        <f t="shared" si="21"/>
        <v>0</v>
      </c>
      <c r="O57" s="291">
        <f>IF(I57="OOP",IF(D57&lt;9,tabellen!$D$37,tabellen!$D$38),0)*H57</f>
        <v>0</v>
      </c>
      <c r="P57" s="291">
        <f t="shared" si="11"/>
        <v>0</v>
      </c>
      <c r="Q57" s="292" t="e">
        <f>VLOOKUP(F57,tabellen!$C$51:$D$64,2,FALSE)</f>
        <v>#N/A</v>
      </c>
      <c r="R57" s="293">
        <f t="shared" si="22"/>
        <v>0</v>
      </c>
      <c r="S57" s="291">
        <f>IF(R57-(tabellen!$F$8*'wg lasten totaal'!H57)&lt;0,0,(R57-(tabellen!$F$8*'wg lasten totaal'!H57))*S$4)</f>
        <v>0</v>
      </c>
      <c r="T57" s="291">
        <f>IF(R57-(tabellen!$F$9*'wg lasten totaal'!H57)&lt;0,0,(R57-(tabellen!$F$9*'wg lasten totaal'!H57))*T$4)</f>
        <v>0</v>
      </c>
      <c r="U57" s="291">
        <f t="shared" si="23"/>
        <v>0</v>
      </c>
      <c r="V57" s="291">
        <f>IF($AJ57&gt;tabellen!H$11,tabellen!H$11*V$4,$AJ57*V$4)</f>
        <v>0</v>
      </c>
      <c r="W57" s="291">
        <f>IF($AJ57&gt;tabellen!H$13,tabellen!H$13*W$4,$AJ57*W$4)</f>
        <v>0</v>
      </c>
      <c r="X57" s="291">
        <f>IF($AJ57&gt;tabellen!H$14,tabellen!H$14*X$4,$AJ57*X$4)</f>
        <v>0</v>
      </c>
      <c r="Y57" s="291" t="str">
        <f t="shared" si="12"/>
        <v/>
      </c>
      <c r="Z57" s="291" t="str">
        <f t="shared" si="13"/>
        <v/>
      </c>
      <c r="AA57" s="293">
        <f t="shared" si="24"/>
        <v>0</v>
      </c>
      <c r="AB57" s="292" t="str">
        <f t="shared" si="14"/>
        <v/>
      </c>
      <c r="AC57" s="294"/>
      <c r="AD57" s="294"/>
      <c r="AE57" s="292">
        <f t="shared" si="15"/>
        <v>0</v>
      </c>
      <c r="AF57" s="293" t="str">
        <f t="shared" si="16"/>
        <v/>
      </c>
      <c r="AG57" s="289" t="str">
        <f t="shared" si="17"/>
        <v/>
      </c>
      <c r="AI57" s="142">
        <f>IF(R57-(tabellen!$F$8*'wg lasten totaal'!H$8)&lt;0,0,(R57-(tabellen!$F$8*'wg lasten totaal'!H$8))*AI$4)</f>
        <v>0</v>
      </c>
      <c r="AJ57" s="142">
        <f t="shared" si="25"/>
        <v>0</v>
      </c>
    </row>
    <row r="58" spans="2:36" ht="10.9" customHeight="1" x14ac:dyDescent="0.2">
      <c r="B58" s="298"/>
      <c r="C58" s="299"/>
      <c r="D58" s="300"/>
      <c r="E58" s="300"/>
      <c r="F58" s="301" t="str">
        <f t="shared" si="8"/>
        <v/>
      </c>
      <c r="G58" s="300"/>
      <c r="H58" s="302"/>
      <c r="I58" s="143" t="str">
        <f t="shared" si="18"/>
        <v/>
      </c>
      <c r="J58" s="290" t="str">
        <f t="shared" si="19"/>
        <v/>
      </c>
      <c r="K58" s="291" t="str">
        <f t="shared" si="9"/>
        <v/>
      </c>
      <c r="L58" s="291" t="str">
        <f t="shared" si="10"/>
        <v/>
      </c>
      <c r="M58" s="291">
        <f t="shared" si="20"/>
        <v>0</v>
      </c>
      <c r="N58" s="291">
        <f t="shared" si="21"/>
        <v>0</v>
      </c>
      <c r="O58" s="291">
        <f>IF(I58="OOP",IF(D58&lt;9,tabellen!$D$37,tabellen!$D$38),0)*H58</f>
        <v>0</v>
      </c>
      <c r="P58" s="291">
        <f t="shared" si="11"/>
        <v>0</v>
      </c>
      <c r="Q58" s="292" t="e">
        <f>VLOOKUP(F58,tabellen!$C$51:$D$64,2,FALSE)</f>
        <v>#N/A</v>
      </c>
      <c r="R58" s="293">
        <f t="shared" si="22"/>
        <v>0</v>
      </c>
      <c r="S58" s="291">
        <f>IF(R58-(tabellen!$F$8*'wg lasten totaal'!H58)&lt;0,0,(R58-(tabellen!$F$8*'wg lasten totaal'!H58))*S$4)</f>
        <v>0</v>
      </c>
      <c r="T58" s="291">
        <f>IF(R58-(tabellen!$F$9*'wg lasten totaal'!H58)&lt;0,0,(R58-(tabellen!$F$9*'wg lasten totaal'!H58))*T$4)</f>
        <v>0</v>
      </c>
      <c r="U58" s="291">
        <f t="shared" si="23"/>
        <v>0</v>
      </c>
      <c r="V58" s="291">
        <f>IF($AJ58&gt;tabellen!H$11,tabellen!H$11*V$4,$AJ58*V$4)</f>
        <v>0</v>
      </c>
      <c r="W58" s="291">
        <f>IF($AJ58&gt;tabellen!H$13,tabellen!H$13*W$4,$AJ58*W$4)</f>
        <v>0</v>
      </c>
      <c r="X58" s="291">
        <f>IF($AJ58&gt;tabellen!H$14,tabellen!H$14*X$4,$AJ58*X$4)</f>
        <v>0</v>
      </c>
      <c r="Y58" s="291" t="str">
        <f t="shared" si="12"/>
        <v/>
      </c>
      <c r="Z58" s="291" t="str">
        <f t="shared" si="13"/>
        <v/>
      </c>
      <c r="AA58" s="293">
        <f t="shared" si="24"/>
        <v>0</v>
      </c>
      <c r="AB58" s="292" t="str">
        <f t="shared" si="14"/>
        <v/>
      </c>
      <c r="AC58" s="294"/>
      <c r="AD58" s="294"/>
      <c r="AE58" s="292">
        <f t="shared" si="15"/>
        <v>0</v>
      </c>
      <c r="AF58" s="293" t="str">
        <f t="shared" si="16"/>
        <v/>
      </c>
      <c r="AG58" s="289" t="str">
        <f t="shared" si="17"/>
        <v/>
      </c>
      <c r="AI58" s="142">
        <f>IF(R58-(tabellen!$F$8*'wg lasten totaal'!H$8)&lt;0,0,(R58-(tabellen!$F$8*'wg lasten totaal'!H$8))*AI$4)</f>
        <v>0</v>
      </c>
      <c r="AJ58" s="142">
        <f t="shared" si="25"/>
        <v>0</v>
      </c>
    </row>
    <row r="59" spans="2:36" ht="10.9" customHeight="1" x14ac:dyDescent="0.2">
      <c r="B59" s="298"/>
      <c r="C59" s="299"/>
      <c r="D59" s="300"/>
      <c r="E59" s="300"/>
      <c r="F59" s="301" t="str">
        <f t="shared" si="8"/>
        <v/>
      </c>
      <c r="G59" s="300"/>
      <c r="H59" s="302"/>
      <c r="I59" s="143" t="str">
        <f t="shared" si="18"/>
        <v/>
      </c>
      <c r="J59" s="290" t="str">
        <f t="shared" si="19"/>
        <v/>
      </c>
      <c r="K59" s="291" t="str">
        <f t="shared" si="9"/>
        <v/>
      </c>
      <c r="L59" s="291" t="str">
        <f t="shared" si="10"/>
        <v/>
      </c>
      <c r="M59" s="291">
        <f t="shared" si="20"/>
        <v>0</v>
      </c>
      <c r="N59" s="291">
        <f t="shared" si="21"/>
        <v>0</v>
      </c>
      <c r="O59" s="291">
        <f>IF(I59="OOP",IF(D59&lt;9,tabellen!$D$37,tabellen!$D$38),0)*H59</f>
        <v>0</v>
      </c>
      <c r="P59" s="291">
        <f t="shared" si="11"/>
        <v>0</v>
      </c>
      <c r="Q59" s="292" t="e">
        <f>VLOOKUP(F59,tabellen!$C$51:$D$64,2,FALSE)</f>
        <v>#N/A</v>
      </c>
      <c r="R59" s="293">
        <f t="shared" si="22"/>
        <v>0</v>
      </c>
      <c r="S59" s="291">
        <f>IF(R59-(tabellen!$F$8*'wg lasten totaal'!H59)&lt;0,0,(R59-(tabellen!$F$8*'wg lasten totaal'!H59))*S$4)</f>
        <v>0</v>
      </c>
      <c r="T59" s="291">
        <f>IF(R59-(tabellen!$F$9*'wg lasten totaal'!H59)&lt;0,0,(R59-(tabellen!$F$9*'wg lasten totaal'!H59))*T$4)</f>
        <v>0</v>
      </c>
      <c r="U59" s="291">
        <f t="shared" si="23"/>
        <v>0</v>
      </c>
      <c r="V59" s="291">
        <f>IF($AJ59&gt;tabellen!H$11,tabellen!H$11*V$4,$AJ59*V$4)</f>
        <v>0</v>
      </c>
      <c r="W59" s="291">
        <f>IF($AJ59&gt;tabellen!H$13,tabellen!H$13*W$4,$AJ59*W$4)</f>
        <v>0</v>
      </c>
      <c r="X59" s="291">
        <f>IF($AJ59&gt;tabellen!H$14,tabellen!H$14*X$4,$AJ59*X$4)</f>
        <v>0</v>
      </c>
      <c r="Y59" s="291" t="str">
        <f t="shared" si="12"/>
        <v/>
      </c>
      <c r="Z59" s="291" t="str">
        <f t="shared" si="13"/>
        <v/>
      </c>
      <c r="AA59" s="293">
        <f t="shared" si="24"/>
        <v>0</v>
      </c>
      <c r="AB59" s="292" t="str">
        <f t="shared" si="14"/>
        <v/>
      </c>
      <c r="AC59" s="294"/>
      <c r="AD59" s="294"/>
      <c r="AE59" s="292">
        <f t="shared" si="15"/>
        <v>0</v>
      </c>
      <c r="AF59" s="293" t="str">
        <f t="shared" si="16"/>
        <v/>
      </c>
      <c r="AG59" s="289" t="str">
        <f t="shared" si="17"/>
        <v/>
      </c>
      <c r="AI59" s="142">
        <f>IF(R59-(tabellen!$F$8*'wg lasten totaal'!H$8)&lt;0,0,(R59-(tabellen!$F$8*'wg lasten totaal'!H$8))*AI$4)</f>
        <v>0</v>
      </c>
      <c r="AJ59" s="142">
        <f t="shared" si="25"/>
        <v>0</v>
      </c>
    </row>
    <row r="60" spans="2:36" ht="10.9" customHeight="1" x14ac:dyDescent="0.2">
      <c r="B60" s="298"/>
      <c r="C60" s="299"/>
      <c r="D60" s="300"/>
      <c r="E60" s="300"/>
      <c r="F60" s="301" t="str">
        <f t="shared" si="8"/>
        <v/>
      </c>
      <c r="G60" s="300"/>
      <c r="H60" s="302"/>
      <c r="I60" s="143" t="str">
        <f t="shared" si="18"/>
        <v/>
      </c>
      <c r="J60" s="290" t="str">
        <f t="shared" si="19"/>
        <v/>
      </c>
      <c r="K60" s="291" t="str">
        <f t="shared" si="9"/>
        <v/>
      </c>
      <c r="L60" s="291" t="str">
        <f t="shared" si="10"/>
        <v/>
      </c>
      <c r="M60" s="291">
        <f t="shared" si="20"/>
        <v>0</v>
      </c>
      <c r="N60" s="291">
        <f t="shared" si="21"/>
        <v>0</v>
      </c>
      <c r="O60" s="291">
        <f>IF(I60="OOP",IF(D60&lt;9,tabellen!$D$37,tabellen!$D$38),0)*H60</f>
        <v>0</v>
      </c>
      <c r="P60" s="291">
        <f t="shared" si="11"/>
        <v>0</v>
      </c>
      <c r="Q60" s="292" t="e">
        <f>VLOOKUP(F60,tabellen!$C$51:$D$64,2,FALSE)</f>
        <v>#N/A</v>
      </c>
      <c r="R60" s="293">
        <f t="shared" si="22"/>
        <v>0</v>
      </c>
      <c r="S60" s="291">
        <f>IF(R60-(tabellen!$F$8*'wg lasten totaal'!H60)&lt;0,0,(R60-(tabellen!$F$8*'wg lasten totaal'!H60))*S$4)</f>
        <v>0</v>
      </c>
      <c r="T60" s="291">
        <f>IF(R60-(tabellen!$F$9*'wg lasten totaal'!H60)&lt;0,0,(R60-(tabellen!$F$9*'wg lasten totaal'!H60))*T$4)</f>
        <v>0</v>
      </c>
      <c r="U60" s="291">
        <f t="shared" si="23"/>
        <v>0</v>
      </c>
      <c r="V60" s="291">
        <f>IF($AJ60&gt;tabellen!H$11,tabellen!H$11*V$4,$AJ60*V$4)</f>
        <v>0</v>
      </c>
      <c r="W60" s="291">
        <f>IF($AJ60&gt;tabellen!H$13,tabellen!H$13*W$4,$AJ60*W$4)</f>
        <v>0</v>
      </c>
      <c r="X60" s="291">
        <f>IF($AJ60&gt;tabellen!H$14,tabellen!H$14*X$4,$AJ60*X$4)</f>
        <v>0</v>
      </c>
      <c r="Y60" s="291" t="str">
        <f t="shared" si="12"/>
        <v/>
      </c>
      <c r="Z60" s="291" t="str">
        <f t="shared" si="13"/>
        <v/>
      </c>
      <c r="AA60" s="293">
        <f t="shared" si="24"/>
        <v>0</v>
      </c>
      <c r="AB60" s="292" t="str">
        <f t="shared" si="14"/>
        <v/>
      </c>
      <c r="AC60" s="294"/>
      <c r="AD60" s="294"/>
      <c r="AE60" s="292">
        <f t="shared" si="15"/>
        <v>0</v>
      </c>
      <c r="AF60" s="293" t="str">
        <f t="shared" si="16"/>
        <v/>
      </c>
      <c r="AG60" s="289" t="str">
        <f t="shared" si="17"/>
        <v/>
      </c>
      <c r="AI60" s="142">
        <f>IF(R60-(tabellen!$F$8*'wg lasten totaal'!H$8)&lt;0,0,(R60-(tabellen!$F$8*'wg lasten totaal'!H$8))*AI$4)</f>
        <v>0</v>
      </c>
      <c r="AJ60" s="142">
        <f t="shared" si="25"/>
        <v>0</v>
      </c>
    </row>
    <row r="61" spans="2:36" ht="10.9" customHeight="1" x14ac:dyDescent="0.2">
      <c r="B61" s="298"/>
      <c r="C61" s="299"/>
      <c r="D61" s="300"/>
      <c r="E61" s="300"/>
      <c r="F61" s="301" t="str">
        <f t="shared" si="8"/>
        <v/>
      </c>
      <c r="G61" s="300"/>
      <c r="H61" s="302"/>
      <c r="I61" s="143" t="str">
        <f t="shared" si="18"/>
        <v/>
      </c>
      <c r="J61" s="290" t="str">
        <f t="shared" si="19"/>
        <v/>
      </c>
      <c r="K61" s="291" t="str">
        <f t="shared" si="9"/>
        <v/>
      </c>
      <c r="L61" s="291" t="str">
        <f t="shared" si="10"/>
        <v/>
      </c>
      <c r="M61" s="291">
        <f t="shared" si="20"/>
        <v>0</v>
      </c>
      <c r="N61" s="291">
        <f t="shared" si="21"/>
        <v>0</v>
      </c>
      <c r="O61" s="291">
        <f>IF(I61="OOP",IF(D61&lt;9,tabellen!$D$37,tabellen!$D$38),0)*H61</f>
        <v>0</v>
      </c>
      <c r="P61" s="291">
        <f t="shared" si="11"/>
        <v>0</v>
      </c>
      <c r="Q61" s="292" t="e">
        <f>VLOOKUP(F61,tabellen!$C$51:$D$64,2,FALSE)</f>
        <v>#N/A</v>
      </c>
      <c r="R61" s="293">
        <f t="shared" si="22"/>
        <v>0</v>
      </c>
      <c r="S61" s="291">
        <f>IF(R61-(tabellen!$F$8*'wg lasten totaal'!H61)&lt;0,0,(R61-(tabellen!$F$8*'wg lasten totaal'!H61))*S$4)</f>
        <v>0</v>
      </c>
      <c r="T61" s="291">
        <f>IF(R61-(tabellen!$F$9*'wg lasten totaal'!H61)&lt;0,0,(R61-(tabellen!$F$9*'wg lasten totaal'!H61))*T$4)</f>
        <v>0</v>
      </c>
      <c r="U61" s="291">
        <f t="shared" si="23"/>
        <v>0</v>
      </c>
      <c r="V61" s="291">
        <f>IF($AJ61&gt;tabellen!H$11,tabellen!H$11*V$4,$AJ61*V$4)</f>
        <v>0</v>
      </c>
      <c r="W61" s="291">
        <f>IF($AJ61&gt;tabellen!H$13,tabellen!H$13*W$4,$AJ61*W$4)</f>
        <v>0</v>
      </c>
      <c r="X61" s="291">
        <f>IF($AJ61&gt;tabellen!H$14,tabellen!H$14*X$4,$AJ61*X$4)</f>
        <v>0</v>
      </c>
      <c r="Y61" s="291" t="str">
        <f t="shared" si="12"/>
        <v/>
      </c>
      <c r="Z61" s="291" t="str">
        <f t="shared" si="13"/>
        <v/>
      </c>
      <c r="AA61" s="293">
        <f t="shared" si="24"/>
        <v>0</v>
      </c>
      <c r="AB61" s="292" t="str">
        <f t="shared" si="14"/>
        <v/>
      </c>
      <c r="AC61" s="294"/>
      <c r="AD61" s="294"/>
      <c r="AE61" s="292">
        <f t="shared" si="15"/>
        <v>0</v>
      </c>
      <c r="AF61" s="293" t="str">
        <f t="shared" si="16"/>
        <v/>
      </c>
      <c r="AG61" s="289" t="str">
        <f t="shared" si="17"/>
        <v/>
      </c>
      <c r="AI61" s="142">
        <f>IF(R61-(tabellen!$F$8*'wg lasten totaal'!H$8)&lt;0,0,(R61-(tabellen!$F$8*'wg lasten totaal'!H$8))*AI$4)</f>
        <v>0</v>
      </c>
      <c r="AJ61" s="142">
        <f t="shared" si="25"/>
        <v>0</v>
      </c>
    </row>
    <row r="62" spans="2:36" ht="10.9" customHeight="1" x14ac:dyDescent="0.2">
      <c r="B62" s="298"/>
      <c r="C62" s="299"/>
      <c r="D62" s="300"/>
      <c r="E62" s="300"/>
      <c r="F62" s="301" t="str">
        <f t="shared" si="8"/>
        <v/>
      </c>
      <c r="G62" s="300"/>
      <c r="H62" s="302"/>
      <c r="I62" s="143" t="str">
        <f t="shared" si="18"/>
        <v/>
      </c>
      <c r="J62" s="290" t="str">
        <f t="shared" si="19"/>
        <v/>
      </c>
      <c r="K62" s="291" t="str">
        <f t="shared" si="9"/>
        <v/>
      </c>
      <c r="L62" s="291" t="str">
        <f t="shared" si="10"/>
        <v/>
      </c>
      <c r="M62" s="291">
        <f t="shared" si="20"/>
        <v>0</v>
      </c>
      <c r="N62" s="291">
        <f t="shared" si="21"/>
        <v>0</v>
      </c>
      <c r="O62" s="291">
        <f>IF(I62="OOP",IF(D62&lt;9,tabellen!$D$37,tabellen!$D$38),0)*H62</f>
        <v>0</v>
      </c>
      <c r="P62" s="291">
        <f t="shared" si="11"/>
        <v>0</v>
      </c>
      <c r="Q62" s="292" t="e">
        <f>VLOOKUP(F62,tabellen!$C$51:$D$64,2,FALSE)</f>
        <v>#N/A</v>
      </c>
      <c r="R62" s="293">
        <f t="shared" si="22"/>
        <v>0</v>
      </c>
      <c r="S62" s="291">
        <f>IF(R62-(tabellen!$F$8*'wg lasten totaal'!H62)&lt;0,0,(R62-(tabellen!$F$8*'wg lasten totaal'!H62))*S$4)</f>
        <v>0</v>
      </c>
      <c r="T62" s="291">
        <f>IF(R62-(tabellen!$F$9*'wg lasten totaal'!H62)&lt;0,0,(R62-(tabellen!$F$9*'wg lasten totaal'!H62))*T$4)</f>
        <v>0</v>
      </c>
      <c r="U62" s="291">
        <f t="shared" si="23"/>
        <v>0</v>
      </c>
      <c r="V62" s="291">
        <f>IF($AJ62&gt;tabellen!H$11,tabellen!H$11*V$4,$AJ62*V$4)</f>
        <v>0</v>
      </c>
      <c r="W62" s="291">
        <f>IF($AJ62&gt;tabellen!H$13,tabellen!H$13*W$4,$AJ62*W$4)</f>
        <v>0</v>
      </c>
      <c r="X62" s="291">
        <f>IF($AJ62&gt;tabellen!H$14,tabellen!H$14*X$4,$AJ62*X$4)</f>
        <v>0</v>
      </c>
      <c r="Y62" s="291" t="str">
        <f t="shared" si="12"/>
        <v/>
      </c>
      <c r="Z62" s="291" t="str">
        <f t="shared" si="13"/>
        <v/>
      </c>
      <c r="AA62" s="293">
        <f t="shared" si="24"/>
        <v>0</v>
      </c>
      <c r="AB62" s="292" t="str">
        <f t="shared" si="14"/>
        <v/>
      </c>
      <c r="AC62" s="294"/>
      <c r="AD62" s="294"/>
      <c r="AE62" s="292">
        <f t="shared" si="15"/>
        <v>0</v>
      </c>
      <c r="AF62" s="293" t="str">
        <f t="shared" si="16"/>
        <v/>
      </c>
      <c r="AG62" s="289" t="str">
        <f t="shared" si="17"/>
        <v/>
      </c>
      <c r="AI62" s="142">
        <f>IF(R62-(tabellen!$F$8*'wg lasten totaal'!H$8)&lt;0,0,(R62-(tabellen!$F$8*'wg lasten totaal'!H$8))*AI$4)</f>
        <v>0</v>
      </c>
      <c r="AJ62" s="142">
        <f t="shared" si="25"/>
        <v>0</v>
      </c>
    </row>
    <row r="63" spans="2:36" ht="10.9" customHeight="1" x14ac:dyDescent="0.2">
      <c r="B63" s="298"/>
      <c r="C63" s="299"/>
      <c r="D63" s="300"/>
      <c r="E63" s="300"/>
      <c r="F63" s="301" t="str">
        <f t="shared" si="8"/>
        <v/>
      </c>
      <c r="G63" s="300"/>
      <c r="H63" s="302"/>
      <c r="I63" s="143" t="str">
        <f t="shared" si="18"/>
        <v/>
      </c>
      <c r="J63" s="290" t="str">
        <f t="shared" si="19"/>
        <v/>
      </c>
      <c r="K63" s="291" t="str">
        <f t="shared" si="9"/>
        <v/>
      </c>
      <c r="L63" s="291" t="str">
        <f t="shared" si="10"/>
        <v/>
      </c>
      <c r="M63" s="291">
        <f t="shared" si="20"/>
        <v>0</v>
      </c>
      <c r="N63" s="291">
        <f t="shared" si="21"/>
        <v>0</v>
      </c>
      <c r="O63" s="291">
        <f>IF(I63="OOP",IF(D63&lt;9,tabellen!$D$37,tabellen!$D$38),0)*H63</f>
        <v>0</v>
      </c>
      <c r="P63" s="291">
        <f t="shared" si="11"/>
        <v>0</v>
      </c>
      <c r="Q63" s="292" t="e">
        <f>VLOOKUP(F63,tabellen!$C$51:$D$64,2,FALSE)</f>
        <v>#N/A</v>
      </c>
      <c r="R63" s="293">
        <f t="shared" si="22"/>
        <v>0</v>
      </c>
      <c r="S63" s="291">
        <f>IF(R63-(tabellen!$F$8*'wg lasten totaal'!H63)&lt;0,0,(R63-(tabellen!$F$8*'wg lasten totaal'!H63))*S$4)</f>
        <v>0</v>
      </c>
      <c r="T63" s="291">
        <f>IF(R63-(tabellen!$F$9*'wg lasten totaal'!H63)&lt;0,0,(R63-(tabellen!$F$9*'wg lasten totaal'!H63))*T$4)</f>
        <v>0</v>
      </c>
      <c r="U63" s="291">
        <f t="shared" si="23"/>
        <v>0</v>
      </c>
      <c r="V63" s="291">
        <f>IF($AJ63&gt;tabellen!H$11,tabellen!H$11*V$4,$AJ63*V$4)</f>
        <v>0</v>
      </c>
      <c r="W63" s="291">
        <f>IF($AJ63&gt;tabellen!H$13,tabellen!H$13*W$4,$AJ63*W$4)</f>
        <v>0</v>
      </c>
      <c r="X63" s="291">
        <f>IF($AJ63&gt;tabellen!H$14,tabellen!H$14*X$4,$AJ63*X$4)</f>
        <v>0</v>
      </c>
      <c r="Y63" s="291" t="str">
        <f t="shared" si="12"/>
        <v/>
      </c>
      <c r="Z63" s="291" t="str">
        <f t="shared" si="13"/>
        <v/>
      </c>
      <c r="AA63" s="293">
        <f t="shared" si="24"/>
        <v>0</v>
      </c>
      <c r="AB63" s="292" t="str">
        <f t="shared" si="14"/>
        <v/>
      </c>
      <c r="AC63" s="294"/>
      <c r="AD63" s="294"/>
      <c r="AE63" s="292">
        <f t="shared" si="15"/>
        <v>0</v>
      </c>
      <c r="AF63" s="293" t="str">
        <f t="shared" si="16"/>
        <v/>
      </c>
      <c r="AG63" s="289" t="str">
        <f t="shared" si="17"/>
        <v/>
      </c>
      <c r="AI63" s="142">
        <f>IF(R63-(tabellen!$F$8*'wg lasten totaal'!H$8)&lt;0,0,(R63-(tabellen!$F$8*'wg lasten totaal'!H$8))*AI$4)</f>
        <v>0</v>
      </c>
      <c r="AJ63" s="142">
        <f t="shared" si="25"/>
        <v>0</v>
      </c>
    </row>
    <row r="64" spans="2:36" ht="10.9" customHeight="1" x14ac:dyDescent="0.2">
      <c r="J64" s="146"/>
      <c r="K64" s="147"/>
      <c r="L64" s="147"/>
      <c r="M64" s="147"/>
      <c r="N64" s="147"/>
      <c r="O64" s="147"/>
      <c r="P64" s="147"/>
      <c r="Q64" s="147"/>
      <c r="R64" s="146"/>
      <c r="S64" s="147"/>
      <c r="T64" s="147"/>
      <c r="U64" s="147"/>
      <c r="V64" s="147"/>
      <c r="W64" s="147"/>
      <c r="X64" s="147"/>
      <c r="Y64" s="147"/>
      <c r="Z64" s="147"/>
      <c r="AA64" s="146"/>
      <c r="AB64" s="147"/>
      <c r="AC64" s="147"/>
      <c r="AD64" s="147"/>
      <c r="AE64" s="147"/>
      <c r="AF64" s="146"/>
    </row>
    <row r="65" spans="2:33" s="144" customFormat="1" ht="10.9" customHeight="1" x14ac:dyDescent="0.2">
      <c r="B65" s="144" t="s">
        <v>131</v>
      </c>
      <c r="J65" s="148">
        <f>SUM(J8:J64)</f>
        <v>5030</v>
      </c>
      <c r="K65" s="148"/>
      <c r="L65" s="148"/>
      <c r="M65" s="148"/>
      <c r="N65" s="148"/>
      <c r="O65" s="148"/>
      <c r="P65" s="148"/>
      <c r="Q65" s="148"/>
      <c r="R65" s="148"/>
      <c r="S65" s="148"/>
      <c r="T65" s="148"/>
      <c r="U65" s="148"/>
      <c r="V65" s="148"/>
      <c r="W65" s="148"/>
      <c r="X65" s="148"/>
      <c r="Y65" s="148"/>
      <c r="Z65" s="148"/>
      <c r="AA65" s="148"/>
      <c r="AB65" s="148"/>
      <c r="AC65" s="148"/>
      <c r="AD65" s="148"/>
      <c r="AE65" s="148"/>
      <c r="AF65" s="148">
        <f>SUM(AF8:AF64)</f>
        <v>8059.0364529594326</v>
      </c>
      <c r="AG65" s="145">
        <f>AF65/J65-1</f>
        <v>0.60219412583686527</v>
      </c>
    </row>
  </sheetData>
  <sheetProtection algorithmName="SHA-512" hashValue="JNfOynd3PFJkPtC105WHUf0VlKBNLOEYVB18HUsmYuPP7zcNiFT1RlOhY48PMB5VRzqea+14G+VO4Y6TFGEPAA==" saltValue="OqJ/a7tBI2vUBaM8bx9wvg==" spinCount="100000" sheet="1" objects="1" scenarios="1"/>
  <mergeCells count="4">
    <mergeCell ref="K6:Q6"/>
    <mergeCell ref="S6:Z6"/>
    <mergeCell ref="AB6:AD6"/>
    <mergeCell ref="I3:J3"/>
  </mergeCells>
  <phoneticPr fontId="4" type="noConversion"/>
  <dataValidations count="1">
    <dataValidation type="decimal" allowBlank="1" showInputMessage="1" showErrorMessage="1" sqref="H8:H63" xr:uid="{7B106904-95FE-43F6-AD2C-11F0257463B8}">
      <formula1>0</formula1>
      <formula2>1</formula2>
    </dataValidation>
  </dataValidations>
  <pageMargins left="0.25" right="0.25" top="0.75" bottom="0.75" header="0.3" footer="0.3"/>
  <pageSetup paperSize="9" scale="45" orientation="landscape" horizontalDpi="4294967293" verticalDpi="4294967293" r:id="rId1"/>
  <ignoredErrors>
    <ignoredError sqref="F8" unlockedFormula="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931EFD1-666F-4A7A-89E6-F7AB076205C8}">
          <x14:formula1>
            <xm:f>tabellen!$A$15:$A$21</xm:f>
          </x14:formula1>
          <xm:sqref>H3</xm:sqref>
        </x14:dataValidation>
        <x14:dataValidation type="list" allowBlank="1" showInputMessage="1" showErrorMessage="1" xr:uid="{AA02EC16-FAD0-4C1F-B90C-FBDEF0419EA6}">
          <x14:formula1>
            <xm:f>tabellen!$A$74:$A$104</xm:f>
          </x14:formula1>
          <xm:sqref>D8:D63</xm:sqref>
        </x14:dataValidation>
        <x14:dataValidation type="list" allowBlank="1" showInputMessage="1" showErrorMessage="1" xr:uid="{CF7307E4-62B2-4BC2-8B8E-5684FA998293}">
          <x14:formula1>
            <xm:f>tabellen!$C$73:$U$73</xm:f>
          </x14:formula1>
          <xm:sqref>E8</xm:sqref>
        </x14:dataValidation>
        <x14:dataValidation type="list" allowBlank="1" showInputMessage="1" showErrorMessage="1" xr:uid="{34847B08-E2A1-4F21-AD84-6954E2C878F6}">
          <x14:formula1>
            <xm:f>tabellen!$B$66:$B$67</xm:f>
          </x14:formula1>
          <xm:sqref>G8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104"/>
  <sheetViews>
    <sheetView zoomScale="90" zoomScaleNormal="90" workbookViewId="0">
      <selection activeCell="J4" sqref="J4"/>
    </sheetView>
  </sheetViews>
  <sheetFormatPr defaultColWidth="9.140625" defaultRowHeight="12" x14ac:dyDescent="0.2"/>
  <cols>
    <col min="1" max="1" width="33.85546875" style="55" customWidth="1"/>
    <col min="2" max="2" width="10.7109375" style="55" customWidth="1"/>
    <col min="3" max="3" width="13" style="55" customWidth="1"/>
    <col min="4" max="5" width="10.7109375" style="55" customWidth="1"/>
    <col min="6" max="6" width="12.140625" style="55" customWidth="1"/>
    <col min="7" max="7" width="15.140625" style="55" bestFit="1" customWidth="1"/>
    <col min="8" max="10" width="10.7109375" style="55" customWidth="1"/>
    <col min="11" max="11" width="7.85546875" style="55" customWidth="1"/>
    <col min="12" max="12" width="8" style="55" customWidth="1"/>
    <col min="13" max="13" width="8.5703125" style="55" customWidth="1"/>
    <col min="14" max="22" width="10.7109375" style="55" customWidth="1"/>
    <col min="23" max="23" width="9.140625" style="55"/>
    <col min="24" max="38" width="9.140625" style="59"/>
    <col min="39" max="16384" width="9.140625" style="55"/>
  </cols>
  <sheetData>
    <row r="1" spans="1:18" ht="18.75" x14ac:dyDescent="0.3">
      <c r="A1" s="297" t="s">
        <v>132</v>
      </c>
    </row>
    <row r="3" spans="1:18" x14ac:dyDescent="0.2">
      <c r="A3" s="55" t="s">
        <v>133</v>
      </c>
      <c r="B3" s="56">
        <v>2024</v>
      </c>
      <c r="C3" s="57" t="s">
        <v>134</v>
      </c>
      <c r="E3" s="55" t="s">
        <v>135</v>
      </c>
      <c r="F3" s="58">
        <f ca="1">NOW()</f>
        <v>45280.578789120373</v>
      </c>
      <c r="J3" s="55" t="s">
        <v>262</v>
      </c>
    </row>
    <row r="4" spans="1:18" x14ac:dyDescent="0.2">
      <c r="A4" s="55" t="s">
        <v>136</v>
      </c>
      <c r="B4" s="57" t="s">
        <v>137</v>
      </c>
    </row>
    <row r="6" spans="1:18" x14ac:dyDescent="0.2">
      <c r="A6" s="60" t="s">
        <v>138</v>
      </c>
      <c r="B6" s="61" t="str">
        <f>C3 &amp; B3</f>
        <v>vanaf 1-12024</v>
      </c>
    </row>
    <row r="7" spans="1:18" x14ac:dyDescent="0.2">
      <c r="A7" s="60"/>
      <c r="B7" s="60"/>
      <c r="C7" s="55" t="s">
        <v>139</v>
      </c>
      <c r="D7" s="55" t="s">
        <v>107</v>
      </c>
      <c r="E7" s="55" t="s">
        <v>140</v>
      </c>
      <c r="F7" s="55" t="s">
        <v>141</v>
      </c>
      <c r="G7" s="55" t="s">
        <v>142</v>
      </c>
      <c r="H7" s="55" t="s">
        <v>143</v>
      </c>
      <c r="J7" s="55" t="s">
        <v>144</v>
      </c>
    </row>
    <row r="8" spans="1:18" ht="12.75" x14ac:dyDescent="0.2">
      <c r="A8" s="62" t="s">
        <v>78</v>
      </c>
      <c r="C8" s="63">
        <v>0.18099999999999999</v>
      </c>
      <c r="D8" s="64">
        <v>8.1000000000000003E-2</v>
      </c>
      <c r="E8" s="306">
        <v>17550</v>
      </c>
      <c r="F8" s="151">
        <f>+E8/12</f>
        <v>1462.5</v>
      </c>
      <c r="J8" s="122" t="s">
        <v>145</v>
      </c>
      <c r="Q8" s="99"/>
    </row>
    <row r="9" spans="1:18" ht="12.75" x14ac:dyDescent="0.2">
      <c r="A9" s="62" t="s">
        <v>79</v>
      </c>
      <c r="C9" s="64">
        <v>5.5999999999999999E-3</v>
      </c>
      <c r="D9" s="64">
        <v>2.3999999999999998E-3</v>
      </c>
      <c r="E9" s="306">
        <v>26800</v>
      </c>
      <c r="F9" s="151">
        <f>+E9/12</f>
        <v>2233.3333333333335</v>
      </c>
      <c r="J9" s="122" t="s">
        <v>145</v>
      </c>
      <c r="Q9" s="99"/>
    </row>
    <row r="10" spans="1:18" ht="12.75" x14ac:dyDescent="0.2">
      <c r="A10" s="62" t="s">
        <v>146</v>
      </c>
      <c r="C10" s="63">
        <v>0</v>
      </c>
      <c r="D10" s="63">
        <v>0</v>
      </c>
      <c r="E10" s="65"/>
      <c r="F10" s="65"/>
      <c r="J10" s="122" t="s">
        <v>145</v>
      </c>
      <c r="Q10" s="99"/>
    </row>
    <row r="11" spans="1:18" x14ac:dyDescent="0.2">
      <c r="A11" s="66" t="s">
        <v>147</v>
      </c>
      <c r="C11" s="67">
        <v>7.4899999999999994E-2</v>
      </c>
      <c r="D11" s="68"/>
      <c r="E11" s="68"/>
      <c r="F11" s="68"/>
      <c r="G11" s="149">
        <v>71628</v>
      </c>
      <c r="H11" s="149">
        <f>G11/12</f>
        <v>5969</v>
      </c>
      <c r="J11" s="121" t="s">
        <v>148</v>
      </c>
      <c r="R11" s="69"/>
    </row>
    <row r="12" spans="1:18" ht="12.75" x14ac:dyDescent="0.2">
      <c r="A12" s="66" t="s">
        <v>149</v>
      </c>
      <c r="C12" s="67">
        <f>(0.83+0.14)/100</f>
        <v>9.7000000000000003E-3</v>
      </c>
      <c r="D12" s="68"/>
      <c r="E12" s="68"/>
      <c r="F12" s="68"/>
      <c r="G12" s="130">
        <f>+G11</f>
        <v>71628</v>
      </c>
      <c r="H12" s="130">
        <f>H11</f>
        <v>5969</v>
      </c>
      <c r="J12" s="307" t="s">
        <v>150</v>
      </c>
      <c r="L12" s="71"/>
      <c r="M12" s="71"/>
      <c r="N12" s="71"/>
      <c r="O12" s="71"/>
      <c r="P12" s="71"/>
      <c r="Q12" s="71"/>
      <c r="R12" s="71"/>
    </row>
    <row r="13" spans="1:18" ht="12.75" x14ac:dyDescent="0.2">
      <c r="A13" s="66" t="s">
        <v>120</v>
      </c>
      <c r="C13" s="63">
        <v>6.5699999999999995E-2</v>
      </c>
      <c r="E13" s="65"/>
      <c r="F13" s="65"/>
      <c r="G13" s="130">
        <f>+G11</f>
        <v>71628</v>
      </c>
      <c r="H13" s="130">
        <f>H12</f>
        <v>5969</v>
      </c>
      <c r="J13" s="122"/>
      <c r="R13" s="69"/>
    </row>
    <row r="14" spans="1:18" x14ac:dyDescent="0.2">
      <c r="A14" s="66" t="s">
        <v>151</v>
      </c>
      <c r="C14" s="63">
        <v>6.7999999999999996E-3</v>
      </c>
      <c r="D14" s="68"/>
      <c r="E14" s="68"/>
      <c r="F14" s="68"/>
      <c r="G14" s="130">
        <f>+G11</f>
        <v>71628</v>
      </c>
      <c r="H14" s="130">
        <f>H13</f>
        <v>5969</v>
      </c>
      <c r="J14" s="100" t="s">
        <v>152</v>
      </c>
    </row>
    <row r="15" spans="1:18" ht="12.75" x14ac:dyDescent="0.2">
      <c r="A15" s="55">
        <v>1</v>
      </c>
      <c r="B15" s="55" t="s">
        <v>153</v>
      </c>
      <c r="C15" s="63">
        <v>0</v>
      </c>
      <c r="D15" s="72" t="s">
        <v>154</v>
      </c>
      <c r="E15" s="68"/>
      <c r="F15" s="68"/>
      <c r="G15" s="65"/>
      <c r="H15" s="65"/>
      <c r="J15" s="122" t="s">
        <v>155</v>
      </c>
    </row>
    <row r="16" spans="1:18" x14ac:dyDescent="0.2">
      <c r="A16" s="55">
        <v>2</v>
      </c>
      <c r="B16" s="55" t="s">
        <v>156</v>
      </c>
      <c r="C16" s="63">
        <v>4.7500000000000001E-2</v>
      </c>
      <c r="D16" s="72" t="s">
        <v>157</v>
      </c>
      <c r="E16" s="68"/>
      <c r="F16" s="68"/>
      <c r="G16" s="65"/>
      <c r="H16" s="65"/>
      <c r="J16" s="65" t="s">
        <v>158</v>
      </c>
    </row>
    <row r="17" spans="1:40" x14ac:dyDescent="0.2">
      <c r="A17" s="55">
        <v>3</v>
      </c>
      <c r="B17" s="55" t="s">
        <v>159</v>
      </c>
      <c r="C17" s="63">
        <v>2.8000000000000001E-2</v>
      </c>
      <c r="D17" s="72" t="s">
        <v>160</v>
      </c>
      <c r="E17" s="68"/>
      <c r="F17" s="68"/>
      <c r="H17" s="65"/>
      <c r="J17" s="65" t="s">
        <v>158</v>
      </c>
      <c r="S17" s="73"/>
    </row>
    <row r="18" spans="1:40" x14ac:dyDescent="0.2">
      <c r="A18" s="55">
        <v>4</v>
      </c>
      <c r="B18" s="55" t="s">
        <v>161</v>
      </c>
      <c r="C18" s="63">
        <v>2.2499999999999999E-2</v>
      </c>
      <c r="D18" s="72" t="s">
        <v>162</v>
      </c>
      <c r="E18" s="68"/>
      <c r="F18" s="68"/>
      <c r="H18" s="65"/>
      <c r="J18" s="65" t="s">
        <v>158</v>
      </c>
    </row>
    <row r="19" spans="1:40" x14ac:dyDescent="0.2">
      <c r="A19" s="55">
        <v>5</v>
      </c>
      <c r="B19" s="55" t="s">
        <v>163</v>
      </c>
      <c r="C19" s="63">
        <v>3.5000000000000001E-3</v>
      </c>
      <c r="D19" s="72" t="s">
        <v>164</v>
      </c>
      <c r="E19" s="68"/>
      <c r="F19" s="68"/>
      <c r="H19" s="65"/>
      <c r="J19" s="65" t="s">
        <v>158</v>
      </c>
    </row>
    <row r="20" spans="1:40" x14ac:dyDescent="0.2">
      <c r="A20" s="55">
        <v>6</v>
      </c>
      <c r="B20" s="55" t="s">
        <v>165</v>
      </c>
      <c r="C20" s="67">
        <v>1.5E-3</v>
      </c>
      <c r="D20" s="72" t="s">
        <v>166</v>
      </c>
      <c r="E20" s="68"/>
      <c r="F20" s="68"/>
      <c r="H20" s="65"/>
      <c r="J20" s="65" t="s">
        <v>158</v>
      </c>
    </row>
    <row r="21" spans="1:40" x14ac:dyDescent="0.2">
      <c r="A21" s="55">
        <v>7</v>
      </c>
      <c r="B21" s="55" t="s">
        <v>167</v>
      </c>
      <c r="C21" s="67">
        <v>0</v>
      </c>
      <c r="D21" s="72" t="s">
        <v>168</v>
      </c>
      <c r="E21" s="68"/>
      <c r="F21" s="68"/>
      <c r="H21" s="65"/>
      <c r="J21" s="65" t="s">
        <v>158</v>
      </c>
    </row>
    <row r="22" spans="1:40" x14ac:dyDescent="0.2">
      <c r="A22" s="74" t="s">
        <v>169</v>
      </c>
      <c r="C22" s="63">
        <v>1.7500000000000002E-2</v>
      </c>
      <c r="D22" s="68"/>
      <c r="E22" s="68"/>
      <c r="F22" s="68"/>
      <c r="H22" s="65"/>
      <c r="J22" s="65" t="s">
        <v>158</v>
      </c>
    </row>
    <row r="23" spans="1:40" x14ac:dyDescent="0.2">
      <c r="B23" s="55" t="s">
        <v>170</v>
      </c>
      <c r="C23" s="69">
        <f>SUM(C8:C15)+C22</f>
        <v>0.36119999999999991</v>
      </c>
      <c r="D23" s="69">
        <f>SUM(D8:D20)</f>
        <v>8.3400000000000002E-2</v>
      </c>
      <c r="E23" s="69">
        <f>SUM(C23:D23)</f>
        <v>0.44459999999999988</v>
      </c>
      <c r="J23" s="65"/>
    </row>
    <row r="24" spans="1:40" x14ac:dyDescent="0.2">
      <c r="J24" s="102"/>
      <c r="S24" s="70"/>
    </row>
    <row r="25" spans="1:40" x14ac:dyDescent="0.2">
      <c r="A25" s="60" t="s">
        <v>171</v>
      </c>
      <c r="B25" s="55" t="s">
        <v>172</v>
      </c>
      <c r="C25" s="150">
        <v>39.25</v>
      </c>
      <c r="G25" s="75"/>
    </row>
    <row r="26" spans="1:40" x14ac:dyDescent="0.2">
      <c r="B26" s="55" t="s">
        <v>173</v>
      </c>
      <c r="C26" s="150">
        <v>34.43</v>
      </c>
    </row>
    <row r="27" spans="1:40" x14ac:dyDescent="0.2">
      <c r="B27" s="55" t="s">
        <v>174</v>
      </c>
      <c r="C27" s="150">
        <v>62.69</v>
      </c>
    </row>
    <row r="28" spans="1:40" x14ac:dyDescent="0.2">
      <c r="B28" s="55" t="s">
        <v>175</v>
      </c>
      <c r="C28" s="150">
        <v>31.01</v>
      </c>
    </row>
    <row r="29" spans="1:40" x14ac:dyDescent="0.2">
      <c r="C29" s="76"/>
    </row>
    <row r="30" spans="1:40" hidden="1" x14ac:dyDescent="0.2">
      <c r="A30" s="60" t="s">
        <v>176</v>
      </c>
      <c r="C30" s="77">
        <v>0</v>
      </c>
      <c r="E30" s="78"/>
      <c r="F30" s="78"/>
      <c r="G30" s="78"/>
      <c r="H30" s="78"/>
      <c r="I30" s="78"/>
      <c r="J30" s="78"/>
      <c r="K30" s="78"/>
      <c r="L30" s="78"/>
      <c r="M30" s="78"/>
      <c r="N30" s="78"/>
      <c r="O30" s="78"/>
      <c r="X30" s="55"/>
      <c r="Y30" s="55"/>
      <c r="AM30" s="59"/>
      <c r="AN30" s="59"/>
    </row>
    <row r="31" spans="1:40" hidden="1" x14ac:dyDescent="0.2">
      <c r="A31" s="60" t="s">
        <v>177</v>
      </c>
      <c r="C31" s="79">
        <v>0</v>
      </c>
      <c r="E31" s="78"/>
      <c r="F31" s="78"/>
      <c r="G31" s="78"/>
      <c r="H31" s="78"/>
      <c r="I31" s="78"/>
      <c r="J31" s="78"/>
      <c r="K31" s="78"/>
      <c r="L31" s="78"/>
      <c r="M31" s="78"/>
      <c r="N31" s="78"/>
      <c r="O31" s="78"/>
    </row>
    <row r="32" spans="1:40" hidden="1" x14ac:dyDescent="0.2">
      <c r="E32" s="78"/>
      <c r="F32" s="78"/>
      <c r="G32" s="78"/>
      <c r="H32" s="78"/>
      <c r="I32" s="78"/>
      <c r="J32" s="78"/>
      <c r="K32" s="78"/>
      <c r="L32" s="78"/>
      <c r="M32" s="78"/>
      <c r="N32" s="78"/>
      <c r="O32" s="78"/>
    </row>
    <row r="33" spans="1:15" x14ac:dyDescent="0.2">
      <c r="A33" s="80" t="s">
        <v>178</v>
      </c>
      <c r="D33" s="81">
        <v>0.08</v>
      </c>
      <c r="E33" s="78"/>
      <c r="F33" s="78"/>
      <c r="G33" s="78"/>
      <c r="H33" s="78"/>
      <c r="I33" s="78"/>
      <c r="J33" s="78"/>
      <c r="K33" s="78"/>
      <c r="L33" s="78"/>
      <c r="M33" s="78"/>
      <c r="N33" s="78"/>
      <c r="O33" s="78"/>
    </row>
    <row r="34" spans="1:15" x14ac:dyDescent="0.2">
      <c r="D34" s="82"/>
      <c r="L34" s="83"/>
      <c r="M34" s="84"/>
    </row>
    <row r="35" spans="1:15" x14ac:dyDescent="0.2">
      <c r="A35" s="60" t="s">
        <v>179</v>
      </c>
      <c r="B35" s="60"/>
      <c r="D35" s="150">
        <v>188.56</v>
      </c>
      <c r="E35" s="55" t="s">
        <v>180</v>
      </c>
      <c r="L35" s="83"/>
      <c r="M35" s="84"/>
    </row>
    <row r="36" spans="1:15" x14ac:dyDescent="0.2">
      <c r="A36" s="60" t="s">
        <v>181</v>
      </c>
      <c r="B36" s="60"/>
      <c r="D36" s="152">
        <v>8.3299999999999999E-2</v>
      </c>
    </row>
    <row r="37" spans="1:15" x14ac:dyDescent="0.2">
      <c r="A37" s="55" t="s">
        <v>182</v>
      </c>
      <c r="B37" s="60">
        <v>1</v>
      </c>
      <c r="C37" s="55">
        <v>8</v>
      </c>
      <c r="D37" s="150">
        <v>135.21</v>
      </c>
    </row>
    <row r="38" spans="1:15" x14ac:dyDescent="0.2">
      <c r="B38" s="60">
        <v>9</v>
      </c>
      <c r="C38" s="55">
        <v>16</v>
      </c>
      <c r="D38" s="150">
        <v>25.21</v>
      </c>
    </row>
    <row r="39" spans="1:15" x14ac:dyDescent="0.2">
      <c r="B39" s="60"/>
      <c r="D39" s="76"/>
    </row>
    <row r="41" spans="1:15" x14ac:dyDescent="0.2">
      <c r="A41" s="60" t="s">
        <v>183</v>
      </c>
      <c r="B41" s="55" t="s">
        <v>184</v>
      </c>
      <c r="C41" s="149">
        <v>146.66999999999999</v>
      </c>
    </row>
    <row r="42" spans="1:15" x14ac:dyDescent="0.2">
      <c r="A42" s="60"/>
      <c r="B42" s="55" t="s">
        <v>185</v>
      </c>
      <c r="C42" s="149">
        <v>146.66999999999999</v>
      </c>
    </row>
    <row r="43" spans="1:15" x14ac:dyDescent="0.2">
      <c r="A43" s="60"/>
      <c r="B43" s="55" t="s">
        <v>186</v>
      </c>
      <c r="C43" s="149">
        <v>73.33</v>
      </c>
    </row>
    <row r="44" spans="1:15" x14ac:dyDescent="0.2">
      <c r="A44" s="60"/>
      <c r="B44" s="55" t="s">
        <v>187</v>
      </c>
      <c r="C44" s="149">
        <v>0</v>
      </c>
    </row>
    <row r="45" spans="1:15" x14ac:dyDescent="0.2">
      <c r="A45" s="60"/>
      <c r="B45" s="55" t="s">
        <v>188</v>
      </c>
      <c r="C45" s="149">
        <v>220</v>
      </c>
    </row>
    <row r="46" spans="1:15" x14ac:dyDescent="0.2">
      <c r="A46" s="60"/>
      <c r="B46" s="55" t="s">
        <v>189</v>
      </c>
      <c r="C46" s="149">
        <v>220</v>
      </c>
    </row>
    <row r="47" spans="1:15" x14ac:dyDescent="0.2">
      <c r="A47" s="60"/>
      <c r="B47" s="55" t="s">
        <v>190</v>
      </c>
      <c r="C47" s="149">
        <v>110</v>
      </c>
    </row>
    <row r="48" spans="1:15" x14ac:dyDescent="0.2">
      <c r="A48" s="60"/>
      <c r="B48" s="55" t="s">
        <v>191</v>
      </c>
      <c r="C48" s="149">
        <v>0</v>
      </c>
    </row>
    <row r="49" spans="1:4" x14ac:dyDescent="0.2">
      <c r="A49" s="60"/>
      <c r="B49" s="55" t="s">
        <v>192</v>
      </c>
      <c r="C49" s="149">
        <v>0</v>
      </c>
    </row>
    <row r="51" spans="1:4" x14ac:dyDescent="0.2">
      <c r="A51" s="60" t="s">
        <v>193</v>
      </c>
      <c r="B51" s="55" t="s">
        <v>184</v>
      </c>
      <c r="C51" s="128" t="s">
        <v>194</v>
      </c>
      <c r="D51" s="149">
        <v>132.59</v>
      </c>
    </row>
    <row r="52" spans="1:4" x14ac:dyDescent="0.2">
      <c r="B52" s="55" t="s">
        <v>185</v>
      </c>
      <c r="C52" s="128" t="s">
        <v>195</v>
      </c>
      <c r="D52" s="149">
        <v>132.59</v>
      </c>
    </row>
    <row r="53" spans="1:4" x14ac:dyDescent="0.2">
      <c r="B53" s="55" t="s">
        <v>186</v>
      </c>
      <c r="C53" s="128" t="s">
        <v>196</v>
      </c>
      <c r="D53" s="149">
        <v>132.59</v>
      </c>
    </row>
    <row r="54" spans="1:4" x14ac:dyDescent="0.2">
      <c r="B54" s="55" t="s">
        <v>187</v>
      </c>
      <c r="C54" s="128" t="s">
        <v>197</v>
      </c>
      <c r="D54" s="149">
        <v>22</v>
      </c>
    </row>
    <row r="55" spans="1:4" x14ac:dyDescent="0.2">
      <c r="B55" s="55" t="s">
        <v>188</v>
      </c>
      <c r="C55" s="128" t="s">
        <v>198</v>
      </c>
      <c r="D55" s="149">
        <v>132.59</v>
      </c>
    </row>
    <row r="56" spans="1:4" x14ac:dyDescent="0.2">
      <c r="B56" s="55" t="s">
        <v>189</v>
      </c>
      <c r="C56" s="128" t="s">
        <v>199</v>
      </c>
      <c r="D56" s="149">
        <v>132.59</v>
      </c>
    </row>
    <row r="57" spans="1:4" x14ac:dyDescent="0.2">
      <c r="B57" s="55" t="s">
        <v>190</v>
      </c>
      <c r="C57" s="128" t="s">
        <v>200</v>
      </c>
      <c r="D57" s="149">
        <v>22</v>
      </c>
    </row>
    <row r="58" spans="1:4" x14ac:dyDescent="0.2">
      <c r="B58" s="55" t="s">
        <v>191</v>
      </c>
      <c r="C58" s="128" t="s">
        <v>201</v>
      </c>
      <c r="D58" s="149">
        <v>22</v>
      </c>
    </row>
    <row r="59" spans="1:4" x14ac:dyDescent="0.2">
      <c r="B59" s="55" t="s">
        <v>192</v>
      </c>
      <c r="C59" s="128" t="s">
        <v>202</v>
      </c>
      <c r="D59" s="149">
        <v>22</v>
      </c>
    </row>
    <row r="60" spans="1:4" x14ac:dyDescent="0.2">
      <c r="B60" s="55" t="s">
        <v>172</v>
      </c>
      <c r="C60" s="129" t="s">
        <v>203</v>
      </c>
      <c r="D60" s="149">
        <v>132.59</v>
      </c>
    </row>
    <row r="61" spans="1:4" x14ac:dyDescent="0.2">
      <c r="B61" s="55" t="s">
        <v>173</v>
      </c>
      <c r="C61" s="129" t="s">
        <v>204</v>
      </c>
      <c r="D61" s="149">
        <v>132.59</v>
      </c>
    </row>
    <row r="62" spans="1:4" x14ac:dyDescent="0.2">
      <c r="B62" s="55" t="s">
        <v>174</v>
      </c>
      <c r="C62" s="129" t="s">
        <v>205</v>
      </c>
      <c r="D62" s="149">
        <v>132.59</v>
      </c>
    </row>
    <row r="63" spans="1:4" x14ac:dyDescent="0.2">
      <c r="B63" s="55" t="s">
        <v>175</v>
      </c>
      <c r="C63" s="129" t="s">
        <v>206</v>
      </c>
      <c r="D63" s="149">
        <v>132.59</v>
      </c>
    </row>
    <row r="64" spans="1:4" x14ac:dyDescent="0.2">
      <c r="B64" s="55">
        <v>9</v>
      </c>
      <c r="C64" s="129">
        <v>910</v>
      </c>
      <c r="D64" s="149">
        <v>22</v>
      </c>
    </row>
    <row r="65" spans="1:25" x14ac:dyDescent="0.2">
      <c r="D65" s="130"/>
    </row>
    <row r="66" spans="1:25" x14ac:dyDescent="0.2">
      <c r="A66" s="60"/>
      <c r="B66" s="55" t="s">
        <v>207</v>
      </c>
    </row>
    <row r="67" spans="1:25" x14ac:dyDescent="0.2">
      <c r="A67" s="60"/>
      <c r="B67" s="55" t="s">
        <v>71</v>
      </c>
    </row>
    <row r="68" spans="1:25" x14ac:dyDescent="0.2">
      <c r="A68" s="85"/>
    </row>
    <row r="69" spans="1:25" x14ac:dyDescent="0.2">
      <c r="A69" s="86"/>
    </row>
    <row r="71" spans="1:25" ht="12.75" x14ac:dyDescent="0.2">
      <c r="A71" s="103" t="s">
        <v>208</v>
      </c>
      <c r="B71" s="104" t="s">
        <v>209</v>
      </c>
      <c r="C71" s="103"/>
      <c r="D71" s="103"/>
      <c r="E71" s="103"/>
      <c r="F71"/>
      <c r="G71" s="105"/>
      <c r="H71" s="106"/>
      <c r="I71" s="107"/>
      <c r="J71" s="107"/>
      <c r="K71" s="107"/>
      <c r="L71" s="107"/>
      <c r="M71" s="107"/>
      <c r="N71" s="107"/>
      <c r="O71" s="107"/>
      <c r="P71" s="107"/>
      <c r="Q71" s="107"/>
      <c r="R71" s="107"/>
      <c r="S71" s="107"/>
      <c r="T71" s="107"/>
      <c r="U71" s="107"/>
      <c r="V71" s="108"/>
      <c r="W71" s="105"/>
    </row>
    <row r="72" spans="1:25" ht="12.75" x14ac:dyDescent="0.2">
      <c r="A72" s="103"/>
      <c r="B72" s="109" t="s">
        <v>210</v>
      </c>
      <c r="C72" s="109" t="s">
        <v>211</v>
      </c>
      <c r="D72" s="109" t="s">
        <v>212</v>
      </c>
      <c r="E72" s="109" t="s">
        <v>213</v>
      </c>
      <c r="F72"/>
      <c r="G72" s="105"/>
      <c r="H72" s="106"/>
      <c r="I72" s="107"/>
      <c r="J72" s="107"/>
      <c r="K72" s="107"/>
      <c r="L72" s="107"/>
      <c r="M72" s="107"/>
      <c r="N72" s="107"/>
      <c r="O72" s="107"/>
      <c r="P72" s="107"/>
      <c r="Q72" s="107"/>
      <c r="R72" s="107"/>
      <c r="S72" s="107"/>
      <c r="T72" s="107"/>
      <c r="U72" s="107"/>
      <c r="V72" s="108"/>
      <c r="W72" s="105"/>
    </row>
    <row r="73" spans="1:25" x14ac:dyDescent="0.2">
      <c r="A73" s="109" t="s">
        <v>214</v>
      </c>
      <c r="B73" s="109">
        <v>-3</v>
      </c>
      <c r="C73" s="109">
        <v>-2</v>
      </c>
      <c r="D73" s="109">
        <v>-1</v>
      </c>
      <c r="E73" s="109">
        <v>0</v>
      </c>
      <c r="F73" s="110">
        <v>1</v>
      </c>
      <c r="G73" s="110">
        <v>2</v>
      </c>
      <c r="H73" s="110">
        <v>3</v>
      </c>
      <c r="I73" s="110">
        <v>4</v>
      </c>
      <c r="J73" s="110">
        <v>5</v>
      </c>
      <c r="K73" s="110">
        <v>6</v>
      </c>
      <c r="L73" s="110">
        <v>7</v>
      </c>
      <c r="M73" s="110">
        <v>8</v>
      </c>
      <c r="N73" s="110">
        <v>9</v>
      </c>
      <c r="O73" s="110">
        <v>10</v>
      </c>
      <c r="P73" s="110">
        <v>11</v>
      </c>
      <c r="Q73" s="110">
        <v>12</v>
      </c>
      <c r="R73" s="110">
        <v>13</v>
      </c>
      <c r="S73" s="110">
        <v>14</v>
      </c>
      <c r="T73" s="110">
        <v>15</v>
      </c>
      <c r="U73" s="110">
        <v>16</v>
      </c>
      <c r="V73" s="111" t="s">
        <v>215</v>
      </c>
      <c r="W73" s="105" t="s">
        <v>216</v>
      </c>
    </row>
    <row r="74" spans="1:25" ht="12.75" x14ac:dyDescent="0.2">
      <c r="A74" s="112" t="s">
        <v>184</v>
      </c>
      <c r="B74" s="113"/>
      <c r="C74" s="113"/>
      <c r="D74" s="113"/>
      <c r="E74" s="113"/>
      <c r="F74" s="113">
        <v>3031</v>
      </c>
      <c r="G74" s="113">
        <v>3334</v>
      </c>
      <c r="H74" s="113">
        <v>3495</v>
      </c>
      <c r="I74" s="113">
        <v>3672</v>
      </c>
      <c r="J74" s="113">
        <v>3829</v>
      </c>
      <c r="K74" s="113">
        <v>3984</v>
      </c>
      <c r="L74" s="113">
        <v>4132</v>
      </c>
      <c r="M74" s="113">
        <v>4279</v>
      </c>
      <c r="N74" s="113">
        <v>4438</v>
      </c>
      <c r="O74" s="113">
        <v>4580</v>
      </c>
      <c r="P74" s="113">
        <v>4726</v>
      </c>
      <c r="Q74" s="113">
        <v>4867</v>
      </c>
      <c r="R74" s="113">
        <v>5030</v>
      </c>
      <c r="S74" s="113"/>
      <c r="T74" s="113"/>
      <c r="U74" s="114"/>
      <c r="V74" s="115">
        <v>13</v>
      </c>
      <c r="W74" s="105" t="s">
        <v>217</v>
      </c>
      <c r="X74" s="126" t="str">
        <f>A74&amp;V74</f>
        <v>A1013</v>
      </c>
      <c r="Y74" s="125">
        <f>1</f>
        <v>1</v>
      </c>
    </row>
    <row r="75" spans="1:25" ht="12.75" x14ac:dyDescent="0.2">
      <c r="A75" s="112" t="s">
        <v>185</v>
      </c>
      <c r="B75" s="113"/>
      <c r="C75" s="113"/>
      <c r="D75" s="113"/>
      <c r="E75" s="113"/>
      <c r="F75" s="113">
        <v>3186</v>
      </c>
      <c r="G75" s="113">
        <v>3334</v>
      </c>
      <c r="H75" s="113">
        <v>3499</v>
      </c>
      <c r="I75" s="113">
        <v>3675</v>
      </c>
      <c r="J75" s="113">
        <v>3840</v>
      </c>
      <c r="K75" s="113">
        <v>4005</v>
      </c>
      <c r="L75" s="113">
        <v>4172</v>
      </c>
      <c r="M75" s="113">
        <v>4438</v>
      </c>
      <c r="N75" s="113">
        <v>4616</v>
      </c>
      <c r="O75" s="113">
        <v>4794</v>
      </c>
      <c r="P75" s="113">
        <v>4972</v>
      </c>
      <c r="Q75" s="113">
        <v>5151</v>
      </c>
      <c r="R75" s="113">
        <v>5328</v>
      </c>
      <c r="S75" s="113">
        <v>5506</v>
      </c>
      <c r="T75" s="113">
        <v>5685</v>
      </c>
      <c r="U75" s="114">
        <v>5862</v>
      </c>
      <c r="V75" s="115">
        <v>16</v>
      </c>
      <c r="W75" s="105" t="s">
        <v>217</v>
      </c>
      <c r="X75" s="126" t="str">
        <f t="shared" ref="X75:X104" si="0">A75&amp;V75</f>
        <v>A1116</v>
      </c>
      <c r="Y75" s="125">
        <f>1</f>
        <v>1</v>
      </c>
    </row>
    <row r="76" spans="1:25" ht="12.75" x14ac:dyDescent="0.2">
      <c r="A76" s="112" t="s">
        <v>186</v>
      </c>
      <c r="B76" s="113"/>
      <c r="C76" s="113"/>
      <c r="D76" s="113"/>
      <c r="E76" s="113"/>
      <c r="F76" s="113">
        <v>3334</v>
      </c>
      <c r="G76" s="113">
        <v>3531</v>
      </c>
      <c r="H76" s="113">
        <v>3759</v>
      </c>
      <c r="I76" s="113">
        <v>3988</v>
      </c>
      <c r="J76" s="113">
        <v>4216</v>
      </c>
      <c r="K76" s="113">
        <v>4475</v>
      </c>
      <c r="L76" s="113">
        <v>4762</v>
      </c>
      <c r="M76" s="113">
        <v>5083</v>
      </c>
      <c r="N76" s="113">
        <v>5431</v>
      </c>
      <c r="O76" s="113">
        <v>5813</v>
      </c>
      <c r="P76" s="113">
        <v>6223</v>
      </c>
      <c r="Q76" s="113">
        <v>6665</v>
      </c>
      <c r="R76" s="113"/>
      <c r="S76" s="113"/>
      <c r="T76" s="113"/>
      <c r="U76" s="114"/>
      <c r="V76" s="115">
        <v>12</v>
      </c>
      <c r="W76" s="105" t="s">
        <v>217</v>
      </c>
      <c r="X76" s="126" t="str">
        <f t="shared" si="0"/>
        <v>A1212</v>
      </c>
      <c r="Y76" s="125">
        <f>1</f>
        <v>1</v>
      </c>
    </row>
    <row r="77" spans="1:25" ht="12.75" x14ac:dyDescent="0.2">
      <c r="A77" s="112" t="s">
        <v>187</v>
      </c>
      <c r="B77" s="113"/>
      <c r="C77" s="113">
        <v>4264</v>
      </c>
      <c r="D77" s="113">
        <v>4725</v>
      </c>
      <c r="E77" s="113"/>
      <c r="F77" s="113">
        <v>5187</v>
      </c>
      <c r="G77" s="113">
        <v>5343</v>
      </c>
      <c r="H77" s="113">
        <v>5490</v>
      </c>
      <c r="I77" s="113">
        <v>5641</v>
      </c>
      <c r="J77" s="113">
        <v>5786</v>
      </c>
      <c r="K77" s="113">
        <v>6089</v>
      </c>
      <c r="L77" s="113">
        <v>6235</v>
      </c>
      <c r="M77" s="113">
        <v>6383</v>
      </c>
      <c r="N77" s="113">
        <v>6570</v>
      </c>
      <c r="O77" s="113">
        <v>6759</v>
      </c>
      <c r="P77" s="113">
        <v>6946</v>
      </c>
      <c r="Q77" s="113">
        <v>7134</v>
      </c>
      <c r="R77" s="113">
        <v>7225</v>
      </c>
      <c r="S77" s="113"/>
      <c r="T77" s="113"/>
      <c r="U77" s="114"/>
      <c r="V77" s="115">
        <v>13</v>
      </c>
      <c r="W77" s="105" t="s">
        <v>217</v>
      </c>
      <c r="X77" s="126" t="str">
        <f t="shared" si="0"/>
        <v>A1313</v>
      </c>
      <c r="Y77" s="125">
        <f>1</f>
        <v>1</v>
      </c>
    </row>
    <row r="78" spans="1:25" ht="12.75" x14ac:dyDescent="0.2">
      <c r="A78" s="116" t="s">
        <v>188</v>
      </c>
      <c r="B78" s="113"/>
      <c r="C78" s="113"/>
      <c r="D78" s="113"/>
      <c r="E78" s="113"/>
      <c r="F78" s="113">
        <v>3186</v>
      </c>
      <c r="G78" s="113">
        <v>3334</v>
      </c>
      <c r="H78" s="113">
        <v>3499</v>
      </c>
      <c r="I78" s="113">
        <v>3675</v>
      </c>
      <c r="J78" s="113">
        <v>3840</v>
      </c>
      <c r="K78" s="113">
        <v>4005</v>
      </c>
      <c r="L78" s="113">
        <v>4172</v>
      </c>
      <c r="M78" s="113">
        <v>4438</v>
      </c>
      <c r="N78" s="113">
        <v>4616</v>
      </c>
      <c r="O78" s="113">
        <v>4794</v>
      </c>
      <c r="P78" s="113">
        <v>4972</v>
      </c>
      <c r="Q78" s="113">
        <v>5151</v>
      </c>
      <c r="R78" s="113">
        <v>5328</v>
      </c>
      <c r="S78" s="113">
        <v>5506</v>
      </c>
      <c r="T78" s="113">
        <v>5685</v>
      </c>
      <c r="U78" s="113">
        <v>5862</v>
      </c>
      <c r="V78" s="117">
        <v>16</v>
      </c>
      <c r="W78" s="105" t="s">
        <v>217</v>
      </c>
      <c r="X78" s="126" t="str">
        <f t="shared" si="0"/>
        <v>D1116</v>
      </c>
      <c r="Y78" s="125">
        <f>1</f>
        <v>1</v>
      </c>
    </row>
    <row r="79" spans="1:25" ht="12.75" x14ac:dyDescent="0.2">
      <c r="A79" s="116" t="s">
        <v>189</v>
      </c>
      <c r="B79" s="113"/>
      <c r="C79" s="113"/>
      <c r="D79" s="113"/>
      <c r="E79" s="113"/>
      <c r="F79" s="113">
        <v>3334</v>
      </c>
      <c r="G79" s="113">
        <v>3531</v>
      </c>
      <c r="H79" s="113">
        <v>3759</v>
      </c>
      <c r="I79" s="113">
        <v>3988</v>
      </c>
      <c r="J79" s="113">
        <v>4216</v>
      </c>
      <c r="K79" s="113">
        <v>4475</v>
      </c>
      <c r="L79" s="113">
        <v>4762</v>
      </c>
      <c r="M79" s="113">
        <v>5083</v>
      </c>
      <c r="N79" s="113">
        <v>5431</v>
      </c>
      <c r="O79" s="113">
        <v>5813</v>
      </c>
      <c r="P79" s="113">
        <v>6223</v>
      </c>
      <c r="Q79" s="113">
        <v>6665</v>
      </c>
      <c r="R79" s="113"/>
      <c r="S79" s="113"/>
      <c r="T79" s="113"/>
      <c r="U79" s="113"/>
      <c r="V79" s="117">
        <v>12</v>
      </c>
      <c r="W79" s="105" t="s">
        <v>217</v>
      </c>
      <c r="X79" s="126" t="str">
        <f t="shared" si="0"/>
        <v>D1212</v>
      </c>
      <c r="Y79" s="125">
        <f>1</f>
        <v>1</v>
      </c>
    </row>
    <row r="80" spans="1:25" ht="12.75" x14ac:dyDescent="0.2">
      <c r="A80" s="116" t="s">
        <v>190</v>
      </c>
      <c r="B80" s="113"/>
      <c r="C80" s="113">
        <v>4857</v>
      </c>
      <c r="D80" s="113"/>
      <c r="E80" s="113"/>
      <c r="F80" s="113">
        <v>5187</v>
      </c>
      <c r="G80" s="113">
        <v>5343</v>
      </c>
      <c r="H80" s="113">
        <v>5490</v>
      </c>
      <c r="I80" s="113">
        <v>5641</v>
      </c>
      <c r="J80" s="113">
        <v>5786</v>
      </c>
      <c r="K80" s="113">
        <v>6089</v>
      </c>
      <c r="L80" s="113">
        <v>6235</v>
      </c>
      <c r="M80" s="113">
        <v>6383</v>
      </c>
      <c r="N80" s="113">
        <v>6570</v>
      </c>
      <c r="O80" s="113">
        <v>6759</v>
      </c>
      <c r="P80" s="113">
        <v>6946</v>
      </c>
      <c r="Q80" s="113">
        <v>7134</v>
      </c>
      <c r="R80" s="113">
        <v>7225</v>
      </c>
      <c r="S80" s="113"/>
      <c r="T80" s="113"/>
      <c r="U80" s="113"/>
      <c r="V80" s="117">
        <v>13</v>
      </c>
      <c r="W80" s="105" t="s">
        <v>217</v>
      </c>
      <c r="X80" s="126" t="str">
        <f t="shared" si="0"/>
        <v>D1313</v>
      </c>
      <c r="Y80" s="125">
        <f>1</f>
        <v>1</v>
      </c>
    </row>
    <row r="81" spans="1:39" ht="12.75" x14ac:dyDescent="0.2">
      <c r="A81" s="116" t="s">
        <v>191</v>
      </c>
      <c r="B81" s="113"/>
      <c r="C81" s="113">
        <v>5127</v>
      </c>
      <c r="D81" s="113">
        <v>5531</v>
      </c>
      <c r="E81" s="113"/>
      <c r="F81" s="113">
        <v>5939</v>
      </c>
      <c r="G81" s="113">
        <v>6089</v>
      </c>
      <c r="H81" s="113">
        <v>6383</v>
      </c>
      <c r="I81" s="113">
        <v>6570</v>
      </c>
      <c r="J81" s="113">
        <v>6759</v>
      </c>
      <c r="K81" s="113">
        <v>6946</v>
      </c>
      <c r="L81" s="113">
        <v>7134</v>
      </c>
      <c r="M81" s="113">
        <v>7324</v>
      </c>
      <c r="N81" s="113">
        <v>7522</v>
      </c>
      <c r="O81" s="113">
        <v>7726</v>
      </c>
      <c r="P81" s="113">
        <v>7936</v>
      </c>
      <c r="Q81" s="113"/>
      <c r="R81" s="113"/>
      <c r="S81" s="113"/>
      <c r="T81" s="113"/>
      <c r="U81" s="113"/>
      <c r="V81" s="117">
        <v>11</v>
      </c>
      <c r="W81" s="105" t="s">
        <v>217</v>
      </c>
      <c r="X81" s="126" t="str">
        <f t="shared" si="0"/>
        <v>D1411</v>
      </c>
      <c r="Y81" s="125">
        <f>1</f>
        <v>1</v>
      </c>
    </row>
    <row r="82" spans="1:39" ht="12.75" x14ac:dyDescent="0.2">
      <c r="A82" s="116" t="s">
        <v>192</v>
      </c>
      <c r="B82" s="113"/>
      <c r="C82" s="113">
        <v>4915</v>
      </c>
      <c r="D82" s="113">
        <v>5358</v>
      </c>
      <c r="E82" s="113">
        <v>5807</v>
      </c>
      <c r="F82" s="113">
        <v>6235</v>
      </c>
      <c r="G82" s="113">
        <v>6383</v>
      </c>
      <c r="H82" s="113">
        <v>6570</v>
      </c>
      <c r="I82" s="113">
        <v>6946</v>
      </c>
      <c r="J82" s="113">
        <v>7134</v>
      </c>
      <c r="K82" s="113">
        <v>7324</v>
      </c>
      <c r="L82" s="113">
        <v>7522</v>
      </c>
      <c r="M82" s="113">
        <v>7726</v>
      </c>
      <c r="N82" s="113">
        <v>7936</v>
      </c>
      <c r="O82" s="113">
        <v>8187</v>
      </c>
      <c r="P82" s="113">
        <v>8448</v>
      </c>
      <c r="Q82" s="113">
        <v>8714</v>
      </c>
      <c r="R82" s="113"/>
      <c r="S82" s="113"/>
      <c r="T82" s="113"/>
      <c r="U82" s="113"/>
      <c r="V82" s="117">
        <v>12</v>
      </c>
      <c r="W82" s="105" t="s">
        <v>217</v>
      </c>
      <c r="X82" s="126" t="str">
        <f t="shared" si="0"/>
        <v>D1512</v>
      </c>
      <c r="Y82" s="125">
        <f>1</f>
        <v>1</v>
      </c>
    </row>
    <row r="83" spans="1:39" ht="12.75" x14ac:dyDescent="0.2">
      <c r="A83" s="112" t="s">
        <v>172</v>
      </c>
      <c r="B83" s="113"/>
      <c r="C83" s="113"/>
      <c r="D83" s="113"/>
      <c r="E83" s="113"/>
      <c r="F83" s="113">
        <v>3301</v>
      </c>
      <c r="G83" s="113">
        <v>3381</v>
      </c>
      <c r="H83" s="113">
        <v>3483</v>
      </c>
      <c r="I83" s="113">
        <v>3584</v>
      </c>
      <c r="J83" s="113">
        <v>3687</v>
      </c>
      <c r="K83" s="113">
        <v>3814</v>
      </c>
      <c r="L83" s="113">
        <v>3963</v>
      </c>
      <c r="M83" s="113">
        <v>4131</v>
      </c>
      <c r="N83" s="113">
        <v>4322</v>
      </c>
      <c r="O83" s="113">
        <v>4534</v>
      </c>
      <c r="P83" s="113">
        <v>4770</v>
      </c>
      <c r="Q83" s="113">
        <v>5030</v>
      </c>
      <c r="R83" s="118"/>
      <c r="S83" s="118"/>
      <c r="T83" s="118"/>
      <c r="U83" s="118"/>
      <c r="V83" s="117">
        <v>12</v>
      </c>
      <c r="W83" s="105" t="s">
        <v>218</v>
      </c>
      <c r="X83" s="126" t="str">
        <f t="shared" si="0"/>
        <v>LB12</v>
      </c>
      <c r="Y83" s="125">
        <f>1</f>
        <v>1</v>
      </c>
      <c r="Z83" s="87"/>
      <c r="AA83" s="87"/>
      <c r="AB83" s="87"/>
      <c r="AC83" s="87"/>
      <c r="AD83" s="87"/>
      <c r="AE83" s="87"/>
      <c r="AF83" s="87"/>
      <c r="AG83" s="87"/>
      <c r="AH83" s="87"/>
      <c r="AI83" s="87"/>
      <c r="AJ83" s="87"/>
      <c r="AK83" s="87"/>
      <c r="AL83" s="87"/>
      <c r="AM83" s="65"/>
    </row>
    <row r="84" spans="1:39" ht="12.75" x14ac:dyDescent="0.2">
      <c r="A84" s="108" t="s">
        <v>173</v>
      </c>
      <c r="B84" s="113"/>
      <c r="C84" s="113"/>
      <c r="D84" s="113"/>
      <c r="E84" s="113"/>
      <c r="F84" s="113">
        <v>3321</v>
      </c>
      <c r="G84" s="113">
        <v>3479</v>
      </c>
      <c r="H84" s="113">
        <v>3659</v>
      </c>
      <c r="I84" s="113">
        <v>3840</v>
      </c>
      <c r="J84" s="113">
        <v>4019</v>
      </c>
      <c r="K84" s="113">
        <v>4219</v>
      </c>
      <c r="L84" s="113">
        <v>4441</v>
      </c>
      <c r="M84" s="113">
        <v>4683</v>
      </c>
      <c r="N84" s="113">
        <v>4946</v>
      </c>
      <c r="O84" s="113">
        <v>5231</v>
      </c>
      <c r="P84" s="113">
        <v>5536</v>
      </c>
      <c r="Q84" s="113">
        <v>5862</v>
      </c>
      <c r="R84" s="118"/>
      <c r="S84" s="118"/>
      <c r="T84" s="118"/>
      <c r="U84" s="118"/>
      <c r="V84" s="117">
        <v>12</v>
      </c>
      <c r="W84" s="105" t="s">
        <v>218</v>
      </c>
      <c r="X84" s="126" t="str">
        <f t="shared" si="0"/>
        <v>LC12</v>
      </c>
      <c r="Y84" s="125">
        <f>1</f>
        <v>1</v>
      </c>
      <c r="Z84" s="87"/>
      <c r="AA84" s="87"/>
      <c r="AB84" s="87"/>
      <c r="AC84" s="87"/>
      <c r="AD84" s="87"/>
      <c r="AE84" s="87"/>
      <c r="AF84" s="87"/>
      <c r="AG84" s="87"/>
      <c r="AH84" s="87"/>
      <c r="AI84" s="87"/>
      <c r="AJ84" s="87"/>
      <c r="AK84" s="87"/>
      <c r="AL84" s="87"/>
      <c r="AM84" s="65"/>
    </row>
    <row r="85" spans="1:39" ht="12.75" x14ac:dyDescent="0.2">
      <c r="A85" s="108" t="s">
        <v>174</v>
      </c>
      <c r="B85" s="113"/>
      <c r="C85" s="113"/>
      <c r="D85" s="113"/>
      <c r="E85" s="113"/>
      <c r="F85" s="113">
        <v>3334</v>
      </c>
      <c r="G85" s="113">
        <v>3531</v>
      </c>
      <c r="H85" s="113">
        <v>3759</v>
      </c>
      <c r="I85" s="113">
        <v>3988</v>
      </c>
      <c r="J85" s="113">
        <v>4216</v>
      </c>
      <c r="K85" s="113">
        <v>4474</v>
      </c>
      <c r="L85" s="113">
        <v>4762</v>
      </c>
      <c r="M85" s="113">
        <v>5083</v>
      </c>
      <c r="N85" s="113">
        <v>5431</v>
      </c>
      <c r="O85" s="113">
        <v>5812</v>
      </c>
      <c r="P85" s="113">
        <v>6223</v>
      </c>
      <c r="Q85" s="113">
        <v>6665</v>
      </c>
      <c r="R85" s="118"/>
      <c r="S85" s="118"/>
      <c r="T85" s="119"/>
      <c r="U85" s="118"/>
      <c r="V85" s="117">
        <v>12</v>
      </c>
      <c r="W85" s="105" t="s">
        <v>218</v>
      </c>
      <c r="X85" s="126" t="str">
        <f t="shared" si="0"/>
        <v>LD12</v>
      </c>
      <c r="Y85" s="125">
        <f>1</f>
        <v>1</v>
      </c>
      <c r="Z85" s="87"/>
      <c r="AA85" s="87"/>
      <c r="AB85" s="87"/>
      <c r="AC85" s="87"/>
      <c r="AD85" s="87"/>
      <c r="AE85" s="87"/>
      <c r="AF85" s="87"/>
      <c r="AG85" s="87"/>
      <c r="AH85" s="87"/>
      <c r="AI85" s="87"/>
      <c r="AJ85" s="87"/>
      <c r="AK85" s="87"/>
      <c r="AL85" s="87"/>
      <c r="AM85" s="65"/>
    </row>
    <row r="86" spans="1:39" ht="13.5" customHeight="1" x14ac:dyDescent="0.2">
      <c r="A86" s="108" t="s">
        <v>175</v>
      </c>
      <c r="B86" s="113"/>
      <c r="C86" s="113">
        <v>3918</v>
      </c>
      <c r="D86" s="113"/>
      <c r="E86" s="113"/>
      <c r="F86" s="113">
        <v>4279</v>
      </c>
      <c r="G86" s="113">
        <v>4438</v>
      </c>
      <c r="H86" s="113">
        <v>4580</v>
      </c>
      <c r="I86" s="113">
        <v>4867</v>
      </c>
      <c r="J86" s="113">
        <v>5187</v>
      </c>
      <c r="K86" s="113">
        <v>5478</v>
      </c>
      <c r="L86" s="113">
        <v>5768</v>
      </c>
      <c r="M86" s="113">
        <v>6060</v>
      </c>
      <c r="N86" s="113">
        <v>6351</v>
      </c>
      <c r="O86" s="113">
        <v>6641</v>
      </c>
      <c r="P86" s="113">
        <v>6931</v>
      </c>
      <c r="Q86" s="113">
        <v>7225</v>
      </c>
      <c r="R86" s="118"/>
      <c r="S86" s="118"/>
      <c r="T86" s="118"/>
      <c r="U86" s="118"/>
      <c r="V86" s="117">
        <v>12</v>
      </c>
      <c r="W86" s="105" t="s">
        <v>218</v>
      </c>
      <c r="X86" s="126" t="str">
        <f t="shared" si="0"/>
        <v>LE12</v>
      </c>
      <c r="Y86" s="125">
        <f>1</f>
        <v>1</v>
      </c>
    </row>
    <row r="87" spans="1:39" ht="12.75" x14ac:dyDescent="0.2">
      <c r="A87" s="116" t="s">
        <v>219</v>
      </c>
      <c r="B87" s="113"/>
      <c r="C87" s="113"/>
      <c r="D87" s="113"/>
      <c r="E87" s="113"/>
      <c r="F87" s="113">
        <v>1650</v>
      </c>
      <c r="G87" s="113"/>
      <c r="H87" s="113"/>
      <c r="I87" s="113"/>
      <c r="J87" s="113"/>
      <c r="K87" s="113"/>
      <c r="L87" s="113"/>
      <c r="M87" s="113"/>
      <c r="N87" s="113"/>
      <c r="O87" s="113"/>
      <c r="P87" s="113"/>
      <c r="Q87" s="113"/>
      <c r="R87" s="113"/>
      <c r="S87" s="113"/>
      <c r="T87" s="113"/>
      <c r="U87" s="118"/>
      <c r="V87" s="117">
        <v>1</v>
      </c>
      <c r="W87" s="105" t="s">
        <v>218</v>
      </c>
      <c r="X87" s="126" t="str">
        <f t="shared" si="0"/>
        <v>LIOa1</v>
      </c>
      <c r="Y87" s="125">
        <f>1</f>
        <v>1</v>
      </c>
    </row>
    <row r="88" spans="1:39" ht="12.75" x14ac:dyDescent="0.2">
      <c r="A88" s="116" t="s">
        <v>220</v>
      </c>
      <c r="B88" s="113"/>
      <c r="C88" s="113"/>
      <c r="D88" s="113"/>
      <c r="E88" s="113"/>
      <c r="F88" s="113">
        <v>1660</v>
      </c>
      <c r="G88" s="113"/>
      <c r="H88" s="113"/>
      <c r="I88" s="113"/>
      <c r="J88" s="113"/>
      <c r="K88" s="113"/>
      <c r="L88" s="113"/>
      <c r="M88" s="113"/>
      <c r="N88" s="113"/>
      <c r="O88" s="113"/>
      <c r="P88" s="113"/>
      <c r="Q88" s="113"/>
      <c r="R88" s="113"/>
      <c r="S88" s="113"/>
      <c r="T88" s="113"/>
      <c r="U88" s="118"/>
      <c r="V88" s="117">
        <v>1</v>
      </c>
      <c r="W88" s="105" t="s">
        <v>218</v>
      </c>
      <c r="X88" s="126" t="str">
        <f t="shared" si="0"/>
        <v>LIOb1</v>
      </c>
      <c r="Y88" s="125">
        <f>1</f>
        <v>1</v>
      </c>
    </row>
    <row r="89" spans="1:39" ht="12.75" x14ac:dyDescent="0.2">
      <c r="A89" s="116">
        <v>1</v>
      </c>
      <c r="B89" s="113"/>
      <c r="C89" s="113"/>
      <c r="D89" s="113"/>
      <c r="E89" s="113"/>
      <c r="F89" s="113">
        <v>2054</v>
      </c>
      <c r="G89" s="113">
        <v>2135</v>
      </c>
      <c r="H89" s="113">
        <v>2214</v>
      </c>
      <c r="I89" s="113">
        <v>2252</v>
      </c>
      <c r="J89" s="113">
        <v>2294</v>
      </c>
      <c r="K89" s="113">
        <v>2336</v>
      </c>
      <c r="L89" s="113">
        <v>2392</v>
      </c>
      <c r="M89" s="113"/>
      <c r="N89" s="113"/>
      <c r="O89" s="113"/>
      <c r="P89" s="113"/>
      <c r="Q89" s="113"/>
      <c r="R89" s="113"/>
      <c r="S89" s="113"/>
      <c r="T89" s="113"/>
      <c r="U89" s="118"/>
      <c r="V89" s="117">
        <v>7</v>
      </c>
      <c r="W89" s="105" t="s">
        <v>221</v>
      </c>
      <c r="X89" s="126" t="str">
        <f t="shared" si="0"/>
        <v>17</v>
      </c>
      <c r="Y89" s="125">
        <f>1</f>
        <v>1</v>
      </c>
    </row>
    <row r="90" spans="1:39" ht="12.75" x14ac:dyDescent="0.2">
      <c r="A90" s="116">
        <v>2</v>
      </c>
      <c r="B90" s="113"/>
      <c r="C90" s="113"/>
      <c r="D90" s="113"/>
      <c r="E90" s="113"/>
      <c r="F90" s="113">
        <v>2098</v>
      </c>
      <c r="G90" s="113">
        <v>2177</v>
      </c>
      <c r="H90" s="113">
        <v>2252</v>
      </c>
      <c r="I90" s="113">
        <v>2336</v>
      </c>
      <c r="J90" s="113">
        <v>2392</v>
      </c>
      <c r="K90" s="113">
        <v>2458</v>
      </c>
      <c r="L90" s="113">
        <v>2536</v>
      </c>
      <c r="M90" s="113">
        <v>2610</v>
      </c>
      <c r="N90" s="113"/>
      <c r="O90" s="113"/>
      <c r="P90" s="113"/>
      <c r="Q90" s="113"/>
      <c r="R90" s="113"/>
      <c r="S90" s="113"/>
      <c r="T90" s="113"/>
      <c r="U90" s="118"/>
      <c r="V90" s="117">
        <v>8</v>
      </c>
      <c r="W90" s="105" t="s">
        <v>221</v>
      </c>
      <c r="X90" s="126" t="str">
        <f t="shared" si="0"/>
        <v>28</v>
      </c>
      <c r="Y90" s="125">
        <f>1</f>
        <v>1</v>
      </c>
    </row>
    <row r="91" spans="1:39" ht="12.75" x14ac:dyDescent="0.2">
      <c r="A91" s="108">
        <v>3</v>
      </c>
      <c r="B91" s="113"/>
      <c r="C91" s="113"/>
      <c r="D91" s="113"/>
      <c r="E91" s="113"/>
      <c r="F91" s="113">
        <v>2098</v>
      </c>
      <c r="G91" s="113">
        <v>2252</v>
      </c>
      <c r="H91" s="113">
        <v>2336</v>
      </c>
      <c r="I91" s="113">
        <v>2458</v>
      </c>
      <c r="J91" s="113">
        <v>2536</v>
      </c>
      <c r="K91" s="113">
        <v>2610</v>
      </c>
      <c r="L91" s="113">
        <v>2683</v>
      </c>
      <c r="M91" s="113">
        <v>2754</v>
      </c>
      <c r="N91" s="120">
        <v>2825</v>
      </c>
      <c r="O91" s="120"/>
      <c r="P91" s="120"/>
      <c r="Q91" s="120"/>
      <c r="R91" s="120"/>
      <c r="S91" s="120"/>
      <c r="T91" s="120"/>
      <c r="U91" s="118"/>
      <c r="V91" s="117">
        <v>9</v>
      </c>
      <c r="W91" s="105" t="s">
        <v>221</v>
      </c>
      <c r="X91" s="126" t="str">
        <f t="shared" si="0"/>
        <v>39</v>
      </c>
      <c r="Y91" s="125">
        <f>1</f>
        <v>1</v>
      </c>
    </row>
    <row r="92" spans="1:39" ht="12.75" x14ac:dyDescent="0.2">
      <c r="A92" s="108">
        <v>4</v>
      </c>
      <c r="B92" s="113"/>
      <c r="C92" s="113"/>
      <c r="D92" s="113"/>
      <c r="E92" s="113"/>
      <c r="F92" s="113">
        <v>2136</v>
      </c>
      <c r="G92" s="113">
        <v>2252</v>
      </c>
      <c r="H92" s="113">
        <v>2336</v>
      </c>
      <c r="I92" s="113">
        <v>2458</v>
      </c>
      <c r="J92" s="113">
        <v>2536</v>
      </c>
      <c r="K92" s="113">
        <v>2610</v>
      </c>
      <c r="L92" s="113">
        <v>2683</v>
      </c>
      <c r="M92" s="113">
        <v>2754</v>
      </c>
      <c r="N92" s="120">
        <v>2825</v>
      </c>
      <c r="O92" s="120">
        <v>2893</v>
      </c>
      <c r="P92" s="120">
        <v>2961</v>
      </c>
      <c r="Q92" s="120"/>
      <c r="R92" s="120"/>
      <c r="S92" s="120"/>
      <c r="T92" s="120"/>
      <c r="U92" s="118"/>
      <c r="V92" s="117">
        <v>11</v>
      </c>
      <c r="W92" s="105" t="s">
        <v>221</v>
      </c>
      <c r="X92" s="126" t="str">
        <f t="shared" si="0"/>
        <v>411</v>
      </c>
      <c r="Y92" s="125">
        <f>1</f>
        <v>1</v>
      </c>
    </row>
    <row r="93" spans="1:39" ht="12.75" x14ac:dyDescent="0.2">
      <c r="A93" s="108">
        <v>5</v>
      </c>
      <c r="B93" s="113"/>
      <c r="C93" s="113"/>
      <c r="D93" s="113"/>
      <c r="E93" s="113"/>
      <c r="F93" s="113">
        <v>2177</v>
      </c>
      <c r="G93" s="113">
        <v>2252</v>
      </c>
      <c r="H93" s="113">
        <v>2336</v>
      </c>
      <c r="I93" s="113">
        <v>2458</v>
      </c>
      <c r="J93" s="113">
        <v>2610</v>
      </c>
      <c r="K93" s="113">
        <v>2683</v>
      </c>
      <c r="L93" s="113">
        <v>2754</v>
      </c>
      <c r="M93" s="113">
        <v>2825</v>
      </c>
      <c r="N93" s="113">
        <v>2893</v>
      </c>
      <c r="O93" s="113">
        <v>2961</v>
      </c>
      <c r="P93" s="113">
        <v>3031</v>
      </c>
      <c r="Q93" s="113">
        <v>3110</v>
      </c>
      <c r="R93" s="113"/>
      <c r="S93" s="113"/>
      <c r="T93" s="113"/>
      <c r="U93" s="113"/>
      <c r="V93" s="117">
        <v>12</v>
      </c>
      <c r="W93" s="105" t="s">
        <v>221</v>
      </c>
      <c r="X93" s="126" t="str">
        <f t="shared" si="0"/>
        <v>512</v>
      </c>
      <c r="Y93" s="125">
        <f>1</f>
        <v>1</v>
      </c>
    </row>
    <row r="94" spans="1:39" ht="12.75" x14ac:dyDescent="0.2">
      <c r="A94" s="108">
        <v>6</v>
      </c>
      <c r="B94" s="113"/>
      <c r="C94" s="113"/>
      <c r="D94" s="113"/>
      <c r="E94" s="113"/>
      <c r="F94" s="113">
        <v>2252</v>
      </c>
      <c r="G94" s="113">
        <v>2336</v>
      </c>
      <c r="H94" s="113">
        <v>2610</v>
      </c>
      <c r="I94" s="113">
        <v>2754</v>
      </c>
      <c r="J94" s="113">
        <v>2825</v>
      </c>
      <c r="K94" s="113">
        <v>2893</v>
      </c>
      <c r="L94" s="113">
        <v>2961</v>
      </c>
      <c r="M94" s="113">
        <v>3031</v>
      </c>
      <c r="N94" s="113">
        <v>3110</v>
      </c>
      <c r="O94" s="113">
        <v>3186</v>
      </c>
      <c r="P94" s="113">
        <v>3257</v>
      </c>
      <c r="Q94" s="113"/>
      <c r="R94" s="113"/>
      <c r="S94" s="113"/>
      <c r="T94" s="113"/>
      <c r="U94" s="113"/>
      <c r="V94" s="117">
        <v>11</v>
      </c>
      <c r="W94" s="105" t="s">
        <v>221</v>
      </c>
      <c r="X94" s="126" t="str">
        <f t="shared" si="0"/>
        <v>611</v>
      </c>
      <c r="Y94" s="125">
        <f>1</f>
        <v>1</v>
      </c>
    </row>
    <row r="95" spans="1:39" ht="12.75" x14ac:dyDescent="0.2">
      <c r="A95" s="108">
        <v>7</v>
      </c>
      <c r="B95" s="113"/>
      <c r="C95" s="113"/>
      <c r="D95" s="113"/>
      <c r="E95" s="113"/>
      <c r="F95" s="113">
        <v>2392</v>
      </c>
      <c r="G95" s="113">
        <v>2458</v>
      </c>
      <c r="H95" s="113">
        <v>2610</v>
      </c>
      <c r="I95" s="113">
        <v>2893</v>
      </c>
      <c r="J95" s="113">
        <v>3031</v>
      </c>
      <c r="K95" s="113">
        <v>3110</v>
      </c>
      <c r="L95" s="113">
        <v>3186</v>
      </c>
      <c r="M95" s="113">
        <v>3257</v>
      </c>
      <c r="N95" s="113">
        <v>3334</v>
      </c>
      <c r="O95" s="113">
        <v>3415</v>
      </c>
      <c r="P95" s="113">
        <v>3495</v>
      </c>
      <c r="Q95" s="113">
        <v>3588</v>
      </c>
      <c r="R95" s="113"/>
      <c r="S95" s="113"/>
      <c r="T95" s="113"/>
      <c r="U95" s="113"/>
      <c r="V95" s="117">
        <v>12</v>
      </c>
      <c r="W95" s="105" t="s">
        <v>221</v>
      </c>
      <c r="X95" s="126" t="str">
        <f t="shared" si="0"/>
        <v>712</v>
      </c>
      <c r="Y95" s="125">
        <f>1</f>
        <v>1</v>
      </c>
    </row>
    <row r="96" spans="1:39" ht="12.75" x14ac:dyDescent="0.2">
      <c r="A96" s="108">
        <v>8</v>
      </c>
      <c r="B96" s="113"/>
      <c r="C96" s="113"/>
      <c r="D96" s="113"/>
      <c r="E96" s="113"/>
      <c r="F96" s="113">
        <v>2683</v>
      </c>
      <c r="G96" s="113">
        <v>2754</v>
      </c>
      <c r="H96" s="113">
        <v>2893</v>
      </c>
      <c r="I96" s="113">
        <v>3186</v>
      </c>
      <c r="J96" s="113">
        <v>3334</v>
      </c>
      <c r="K96" s="113">
        <v>3495</v>
      </c>
      <c r="L96" s="113">
        <v>3588</v>
      </c>
      <c r="M96" s="113">
        <v>3672</v>
      </c>
      <c r="N96" s="113">
        <v>3747</v>
      </c>
      <c r="O96" s="113">
        <v>3829</v>
      </c>
      <c r="P96" s="113">
        <v>3909</v>
      </c>
      <c r="Q96" s="113">
        <v>3984</v>
      </c>
      <c r="R96" s="113">
        <v>4055</v>
      </c>
      <c r="S96" s="113"/>
      <c r="T96" s="113"/>
      <c r="U96" s="113"/>
      <c r="V96" s="117">
        <v>13</v>
      </c>
      <c r="W96" s="105" t="s">
        <v>221</v>
      </c>
      <c r="X96" s="126" t="str">
        <f t="shared" si="0"/>
        <v>813</v>
      </c>
      <c r="Y96" s="125">
        <f>1</f>
        <v>1</v>
      </c>
    </row>
    <row r="97" spans="1:25" ht="12.75" x14ac:dyDescent="0.2">
      <c r="A97" s="108">
        <v>9</v>
      </c>
      <c r="B97" s="113"/>
      <c r="C97" s="113"/>
      <c r="D97" s="113"/>
      <c r="E97" s="113"/>
      <c r="F97" s="113">
        <v>3031</v>
      </c>
      <c r="G97" s="113">
        <v>3186</v>
      </c>
      <c r="H97" s="113">
        <v>3495</v>
      </c>
      <c r="I97" s="113">
        <v>3672</v>
      </c>
      <c r="J97" s="113">
        <v>3829</v>
      </c>
      <c r="K97" s="113">
        <v>3984</v>
      </c>
      <c r="L97" s="113">
        <v>4132</v>
      </c>
      <c r="M97" s="113">
        <v>4279</v>
      </c>
      <c r="N97" s="113">
        <v>4438</v>
      </c>
      <c r="O97" s="113">
        <v>4580</v>
      </c>
      <c r="P97" s="113"/>
      <c r="Q97" s="113"/>
      <c r="R97" s="113"/>
      <c r="S97" s="113"/>
      <c r="T97" s="113"/>
      <c r="U97" s="113"/>
      <c r="V97" s="117">
        <v>10</v>
      </c>
      <c r="W97" s="105" t="s">
        <v>221</v>
      </c>
      <c r="X97" s="126" t="str">
        <f t="shared" si="0"/>
        <v>910</v>
      </c>
      <c r="Y97" s="125">
        <f>1</f>
        <v>1</v>
      </c>
    </row>
    <row r="98" spans="1:25" ht="12.75" x14ac:dyDescent="0.2">
      <c r="A98" s="108">
        <v>10</v>
      </c>
      <c r="B98" s="113"/>
      <c r="C98" s="113"/>
      <c r="D98" s="113"/>
      <c r="E98" s="113"/>
      <c r="F98" s="113">
        <v>3031</v>
      </c>
      <c r="G98" s="113">
        <v>3334</v>
      </c>
      <c r="H98" s="113">
        <v>3495</v>
      </c>
      <c r="I98" s="113">
        <v>3672</v>
      </c>
      <c r="J98" s="113">
        <v>3829</v>
      </c>
      <c r="K98" s="113">
        <v>3984</v>
      </c>
      <c r="L98" s="113">
        <v>4132</v>
      </c>
      <c r="M98" s="113">
        <v>4279</v>
      </c>
      <c r="N98" s="113">
        <v>4438</v>
      </c>
      <c r="O98" s="113">
        <v>4580</v>
      </c>
      <c r="P98" s="113">
        <v>4726</v>
      </c>
      <c r="Q98" s="113">
        <v>4867</v>
      </c>
      <c r="R98" s="113">
        <v>5030</v>
      </c>
      <c r="S98" s="113"/>
      <c r="T98" s="113"/>
      <c r="U98" s="113"/>
      <c r="V98" s="117">
        <v>13</v>
      </c>
      <c r="W98" s="105" t="s">
        <v>221</v>
      </c>
      <c r="X98" s="126" t="str">
        <f t="shared" si="0"/>
        <v>1013</v>
      </c>
      <c r="Y98" s="125">
        <f>1</f>
        <v>1</v>
      </c>
    </row>
    <row r="99" spans="1:25" ht="12.75" x14ac:dyDescent="0.2">
      <c r="A99" s="108">
        <v>11</v>
      </c>
      <c r="B99" s="113"/>
      <c r="C99" s="113"/>
      <c r="D99" s="113"/>
      <c r="E99" s="113"/>
      <c r="F99" s="113">
        <v>3186</v>
      </c>
      <c r="G99" s="113">
        <v>3334</v>
      </c>
      <c r="H99" s="113">
        <v>3499</v>
      </c>
      <c r="I99" s="113">
        <v>3675</v>
      </c>
      <c r="J99" s="113">
        <v>3840</v>
      </c>
      <c r="K99" s="113">
        <v>4005</v>
      </c>
      <c r="L99" s="113">
        <v>4172</v>
      </c>
      <c r="M99" s="113">
        <v>4438</v>
      </c>
      <c r="N99" s="113">
        <v>4616</v>
      </c>
      <c r="O99" s="113">
        <v>4794</v>
      </c>
      <c r="P99" s="113">
        <v>4972</v>
      </c>
      <c r="Q99" s="113">
        <v>5151</v>
      </c>
      <c r="R99" s="113">
        <v>5328</v>
      </c>
      <c r="S99" s="113">
        <v>5506</v>
      </c>
      <c r="T99" s="113">
        <v>5685</v>
      </c>
      <c r="U99" s="113">
        <v>5862</v>
      </c>
      <c r="V99" s="117">
        <v>16</v>
      </c>
      <c r="W99" s="105" t="s">
        <v>221</v>
      </c>
      <c r="X99" s="126" t="str">
        <f t="shared" si="0"/>
        <v>1116</v>
      </c>
      <c r="Y99" s="125">
        <f>1</f>
        <v>1</v>
      </c>
    </row>
    <row r="100" spans="1:25" ht="12.75" x14ac:dyDescent="0.2">
      <c r="A100" s="108">
        <v>12</v>
      </c>
      <c r="B100" s="113"/>
      <c r="C100" s="113"/>
      <c r="D100" s="113"/>
      <c r="E100" s="113"/>
      <c r="F100" s="113">
        <v>3334</v>
      </c>
      <c r="G100" s="113">
        <v>3531</v>
      </c>
      <c r="H100" s="113">
        <v>3759</v>
      </c>
      <c r="I100" s="113">
        <v>3988</v>
      </c>
      <c r="J100" s="113">
        <v>4216</v>
      </c>
      <c r="K100" s="113">
        <v>4475</v>
      </c>
      <c r="L100" s="113">
        <v>4762</v>
      </c>
      <c r="M100" s="113">
        <v>5083</v>
      </c>
      <c r="N100" s="113">
        <v>5431</v>
      </c>
      <c r="O100" s="113">
        <v>5813</v>
      </c>
      <c r="P100" s="113">
        <v>6223</v>
      </c>
      <c r="Q100" s="113">
        <v>6665</v>
      </c>
      <c r="R100" s="113"/>
      <c r="S100" s="113"/>
      <c r="T100" s="113"/>
      <c r="U100" s="113"/>
      <c r="V100" s="117">
        <v>12</v>
      </c>
      <c r="W100" s="105" t="s">
        <v>221</v>
      </c>
      <c r="X100" s="126" t="str">
        <f t="shared" si="0"/>
        <v>1212</v>
      </c>
      <c r="Y100" s="125">
        <f>1</f>
        <v>1</v>
      </c>
    </row>
    <row r="101" spans="1:25" ht="12.75" x14ac:dyDescent="0.2">
      <c r="A101" s="108">
        <v>13</v>
      </c>
      <c r="B101" s="113"/>
      <c r="C101" s="113"/>
      <c r="D101" s="113"/>
      <c r="E101" s="113"/>
      <c r="F101" s="113">
        <v>5187</v>
      </c>
      <c r="G101" s="113">
        <v>5343</v>
      </c>
      <c r="H101" s="113">
        <v>5490</v>
      </c>
      <c r="I101" s="113">
        <v>5641</v>
      </c>
      <c r="J101" s="113">
        <v>5786</v>
      </c>
      <c r="K101" s="113">
        <v>6089</v>
      </c>
      <c r="L101" s="113">
        <v>6235</v>
      </c>
      <c r="M101" s="113">
        <v>6383</v>
      </c>
      <c r="N101" s="113">
        <v>6570</v>
      </c>
      <c r="O101" s="113">
        <v>6759</v>
      </c>
      <c r="P101" s="113">
        <v>6946</v>
      </c>
      <c r="Q101" s="113">
        <v>7134</v>
      </c>
      <c r="R101" s="113">
        <v>7225</v>
      </c>
      <c r="S101" s="113"/>
      <c r="T101" s="113"/>
      <c r="U101" s="113"/>
      <c r="V101" s="117">
        <v>13</v>
      </c>
      <c r="W101" s="105" t="s">
        <v>221</v>
      </c>
      <c r="X101" s="126" t="str">
        <f t="shared" si="0"/>
        <v>1313</v>
      </c>
      <c r="Y101" s="125">
        <f>1</f>
        <v>1</v>
      </c>
    </row>
    <row r="102" spans="1:25" ht="12.75" x14ac:dyDescent="0.2">
      <c r="A102" s="108">
        <v>14</v>
      </c>
      <c r="B102" s="113"/>
      <c r="C102" s="113"/>
      <c r="D102" s="113"/>
      <c r="E102" s="113"/>
      <c r="F102" s="113">
        <v>5939</v>
      </c>
      <c r="G102" s="113">
        <v>6089</v>
      </c>
      <c r="H102" s="113">
        <v>6383</v>
      </c>
      <c r="I102" s="113">
        <v>6570</v>
      </c>
      <c r="J102" s="113">
        <v>6759</v>
      </c>
      <c r="K102" s="113">
        <v>6946</v>
      </c>
      <c r="L102" s="113">
        <v>7134</v>
      </c>
      <c r="M102" s="113">
        <v>7324</v>
      </c>
      <c r="N102" s="113">
        <v>7522</v>
      </c>
      <c r="O102" s="113">
        <v>7726</v>
      </c>
      <c r="P102" s="113">
        <v>7936</v>
      </c>
      <c r="Q102" s="113"/>
      <c r="R102" s="113"/>
      <c r="S102" s="113"/>
      <c r="T102" s="113"/>
      <c r="U102" s="113"/>
      <c r="V102" s="117">
        <v>11</v>
      </c>
      <c r="W102" s="105" t="s">
        <v>221</v>
      </c>
      <c r="X102" s="126" t="str">
        <f t="shared" si="0"/>
        <v>1411</v>
      </c>
      <c r="Y102" s="125">
        <f>1</f>
        <v>1</v>
      </c>
    </row>
    <row r="103" spans="1:25" ht="12.75" x14ac:dyDescent="0.2">
      <c r="A103" s="108">
        <v>15</v>
      </c>
      <c r="B103" s="113"/>
      <c r="C103" s="113"/>
      <c r="D103" s="113"/>
      <c r="E103" s="113"/>
      <c r="F103" s="113">
        <v>6235</v>
      </c>
      <c r="G103" s="113">
        <v>6383</v>
      </c>
      <c r="H103" s="113">
        <v>6570</v>
      </c>
      <c r="I103" s="113">
        <v>6946</v>
      </c>
      <c r="J103" s="113">
        <v>7134</v>
      </c>
      <c r="K103" s="113">
        <v>7324</v>
      </c>
      <c r="L103" s="113">
        <v>7522</v>
      </c>
      <c r="M103" s="113">
        <v>7726</v>
      </c>
      <c r="N103" s="113">
        <v>7936</v>
      </c>
      <c r="O103" s="113">
        <v>8187</v>
      </c>
      <c r="P103" s="113">
        <v>8448</v>
      </c>
      <c r="Q103" s="113">
        <v>8714</v>
      </c>
      <c r="R103" s="113"/>
      <c r="S103" s="113"/>
      <c r="T103" s="113"/>
      <c r="U103" s="113"/>
      <c r="V103" s="117">
        <v>12</v>
      </c>
      <c r="W103" s="105" t="s">
        <v>221</v>
      </c>
      <c r="X103" s="126" t="str">
        <f t="shared" si="0"/>
        <v>1512</v>
      </c>
      <c r="Y103" s="125">
        <f>1</f>
        <v>1</v>
      </c>
    </row>
    <row r="104" spans="1:25" ht="12.75" x14ac:dyDescent="0.2">
      <c r="A104" s="108">
        <v>16</v>
      </c>
      <c r="B104" s="113"/>
      <c r="C104" s="113"/>
      <c r="D104" s="113"/>
      <c r="E104" s="113"/>
      <c r="F104" s="113">
        <v>6759</v>
      </c>
      <c r="G104" s="113">
        <v>6946</v>
      </c>
      <c r="H104" s="113">
        <v>7134</v>
      </c>
      <c r="I104" s="113">
        <v>7522</v>
      </c>
      <c r="J104" s="113">
        <v>7726</v>
      </c>
      <c r="K104" s="113">
        <v>7936</v>
      </c>
      <c r="L104" s="113">
        <v>8187</v>
      </c>
      <c r="M104" s="113">
        <v>8448</v>
      </c>
      <c r="N104" s="113">
        <v>8714</v>
      </c>
      <c r="O104" s="113">
        <v>8993</v>
      </c>
      <c r="P104" s="113">
        <v>9277</v>
      </c>
      <c r="Q104" s="113">
        <v>9572</v>
      </c>
      <c r="R104" s="113"/>
      <c r="S104" s="113"/>
      <c r="T104" s="113"/>
      <c r="U104" s="113"/>
      <c r="V104" s="117">
        <v>12</v>
      </c>
      <c r="W104" s="105" t="s">
        <v>221</v>
      </c>
      <c r="X104" s="126" t="str">
        <f t="shared" si="0"/>
        <v>1612</v>
      </c>
      <c r="Y104" s="125">
        <f>1</f>
        <v>1</v>
      </c>
    </row>
  </sheetData>
  <sheetProtection algorithmName="SHA-512" hashValue="cT0FYWxNdAldZ40zKaC5QZ8kdJdzNALHvQKA7QF0di3AtnYE8E8b8H3y09c1IX+gwUJM9fGvsYsHvd0T2w9Riw==" saltValue="9UhLg+gnV1vq95RLxi4llQ==" spinCount="100000" sheet="1" objects="1" scenarios="1"/>
  <phoneticPr fontId="0" type="noConversion"/>
  <hyperlinks>
    <hyperlink ref="J8" r:id="rId1" xr:uid="{FF67BEB2-BF43-4EF3-A239-12F089D42149}"/>
    <hyperlink ref="J9" r:id="rId2" xr:uid="{3B3C02BB-D86D-499C-884C-5024D0E58351}"/>
    <hyperlink ref="J10" r:id="rId3" xr:uid="{6869F079-C30A-431E-BE08-726A8A1A4876}"/>
    <hyperlink ref="J12" r:id="rId4" xr:uid="{54DB89F8-A1B7-4CCA-B08C-478997F65A4E}"/>
  </hyperlinks>
  <printOptions gridLines="1"/>
  <pageMargins left="0.74803149606299213" right="0.74803149606299213" top="0.98425196850393704" bottom="0.98425196850393704" header="0.51181102362204722" footer="0.51181102362204722"/>
  <pageSetup paperSize="9" scale="71" orientation="landscape" r:id="rId5"/>
  <headerFooter alignWithMargins="0">
    <oddHeader>&amp;L&amp;"Arial,Vet"&amp;A&amp;R&amp;"Arial,Vet"&amp;F</oddHeader>
    <oddFooter>&amp;L&amp;"Arial,Vet"&amp;8PO-Raad&amp;R&amp;"Arial,Vet"&amp;P</oddFooter>
  </headerFooter>
  <ignoredErrors>
    <ignoredError sqref="X74:X104" unlockedFormula="1"/>
  </ignoredErrors>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0A3B4-B1EC-4632-93A1-ED1CB43E0CE8}">
  <dimension ref="A1:Q179"/>
  <sheetViews>
    <sheetView workbookViewId="0">
      <selection activeCell="D138" sqref="D138:D139"/>
    </sheetView>
  </sheetViews>
  <sheetFormatPr defaultRowHeight="12.75" x14ac:dyDescent="0.2"/>
  <cols>
    <col min="4" max="4" width="9.42578125" bestFit="1" customWidth="1"/>
  </cols>
  <sheetData>
    <row r="1" spans="1:6" x14ac:dyDescent="0.2">
      <c r="A1" t="s">
        <v>222</v>
      </c>
    </row>
    <row r="3" spans="1:6" x14ac:dyDescent="0.2">
      <c r="A3" t="s">
        <v>223</v>
      </c>
    </row>
    <row r="4" spans="1:6" x14ac:dyDescent="0.2">
      <c r="A4" s="91"/>
      <c r="B4" s="91" t="s">
        <v>224</v>
      </c>
      <c r="C4" s="91" t="s">
        <v>225</v>
      </c>
      <c r="D4" s="91" t="s">
        <v>226</v>
      </c>
      <c r="E4" s="91" t="s">
        <v>227</v>
      </c>
      <c r="F4" s="91" t="s">
        <v>228</v>
      </c>
    </row>
    <row r="5" spans="1:6" x14ac:dyDescent="0.2">
      <c r="A5" s="91">
        <v>1</v>
      </c>
      <c r="B5" s="91">
        <v>2738.0632812499998</v>
      </c>
      <c r="C5" s="91">
        <v>2820.2051796874994</v>
      </c>
      <c r="D5" s="91">
        <v>2874.9664453124992</v>
      </c>
      <c r="E5" s="91">
        <v>2874.9664453124992</v>
      </c>
      <c r="F5" s="91">
        <v>3624.1005590624995</v>
      </c>
    </row>
    <row r="6" spans="1:6" x14ac:dyDescent="0.2">
      <c r="A6" s="91">
        <v>2</v>
      </c>
      <c r="B6" s="91">
        <v>2823.4908556249998</v>
      </c>
      <c r="C6" s="91">
        <v>2915.4897818749996</v>
      </c>
      <c r="D6" s="91">
        <v>2998.7269056249997</v>
      </c>
      <c r="E6" s="91">
        <v>2998.7269056249997</v>
      </c>
      <c r="F6" s="91">
        <v>3759.9084978124993</v>
      </c>
    </row>
    <row r="7" spans="1:6" x14ac:dyDescent="0.2">
      <c r="A7" s="91">
        <v>3</v>
      </c>
      <c r="B7" s="91">
        <v>2910.0136553124994</v>
      </c>
      <c r="C7" s="91">
        <v>3014.0600599999993</v>
      </c>
      <c r="D7" s="91">
        <v>3127.9634924999991</v>
      </c>
      <c r="E7" s="91">
        <v>3164.1059278124994</v>
      </c>
      <c r="F7" s="91">
        <v>3881.4785074999995</v>
      </c>
    </row>
    <row r="8" spans="1:6" x14ac:dyDescent="0.2">
      <c r="A8" s="91">
        <v>4</v>
      </c>
      <c r="B8" s="91">
        <v>3000.9173562499991</v>
      </c>
      <c r="C8" s="91">
        <v>3115.916014062499</v>
      </c>
      <c r="D8" s="91">
        <v>3261.5809806249995</v>
      </c>
      <c r="E8" s="91">
        <v>3338.2467524999997</v>
      </c>
      <c r="F8" s="91">
        <v>4125.7137521874993</v>
      </c>
    </row>
    <row r="9" spans="1:6" x14ac:dyDescent="0.2">
      <c r="A9" s="91">
        <v>5</v>
      </c>
      <c r="B9" s="91">
        <v>3094.0115078124995</v>
      </c>
      <c r="C9" s="91">
        <v>3221.0576440624995</v>
      </c>
      <c r="D9" s="91">
        <v>3401.7698206249993</v>
      </c>
      <c r="E9" s="91">
        <v>3513.4828024999993</v>
      </c>
      <c r="F9" s="91">
        <v>4396.234404374999</v>
      </c>
    </row>
    <row r="10" spans="1:6" x14ac:dyDescent="0.2">
      <c r="A10" s="91">
        <v>6</v>
      </c>
      <c r="B10" s="91">
        <v>3189.2961099999993</v>
      </c>
      <c r="C10" s="91">
        <v>3330.5801753124993</v>
      </c>
      <c r="D10" s="91">
        <v>3548.530012499999</v>
      </c>
      <c r="E10" s="91">
        <v>3696.3854296874988</v>
      </c>
      <c r="F10" s="91">
        <v>4565.9943278124993</v>
      </c>
    </row>
    <row r="11" spans="1:6" x14ac:dyDescent="0.2">
      <c r="A11" s="91">
        <v>7</v>
      </c>
      <c r="B11" s="91">
        <v>3288.9616134374996</v>
      </c>
      <c r="C11" s="91">
        <v>3442.2931571874997</v>
      </c>
      <c r="D11" s="91">
        <v>3700.7663309374998</v>
      </c>
      <c r="E11" s="91">
        <v>3885.8594087499996</v>
      </c>
      <c r="F11" s="91">
        <v>4739.0399271874994</v>
      </c>
    </row>
    <row r="12" spans="1:6" x14ac:dyDescent="0.2">
      <c r="A12" s="91">
        <v>8</v>
      </c>
      <c r="B12" s="91">
        <v>3390.8175674999993</v>
      </c>
      <c r="C12" s="91">
        <v>3559.4822656249989</v>
      </c>
      <c r="D12" s="91">
        <v>3860.6692265624993</v>
      </c>
      <c r="E12" s="91">
        <v>4078.619063749999</v>
      </c>
      <c r="F12" s="91">
        <v>4910.990301249999</v>
      </c>
    </row>
    <row r="13" spans="1:6" x14ac:dyDescent="0.2">
      <c r="A13" s="91">
        <v>9</v>
      </c>
      <c r="B13" s="91">
        <v>3495.9591974999994</v>
      </c>
      <c r="C13" s="91">
        <v>3678.8618246874994</v>
      </c>
      <c r="D13" s="91">
        <v>4026.0482487499994</v>
      </c>
      <c r="E13" s="91">
        <v>4281.2357465624982</v>
      </c>
      <c r="F13" s="91">
        <v>5084.0359006249982</v>
      </c>
    </row>
    <row r="14" spans="1:6" x14ac:dyDescent="0.2">
      <c r="A14" s="91">
        <v>10</v>
      </c>
      <c r="B14" s="91">
        <v>3604.386503437499</v>
      </c>
      <c r="C14" s="91">
        <v>3803.7175103124991</v>
      </c>
      <c r="D14" s="91">
        <v>4199.0938481249996</v>
      </c>
      <c r="E14" s="91">
        <v>4491.5190065624993</v>
      </c>
      <c r="F14" s="91">
        <v>5254.891049375</v>
      </c>
    </row>
    <row r="15" spans="1:6" x14ac:dyDescent="0.2">
      <c r="A15" s="91">
        <v>11</v>
      </c>
      <c r="B15" s="91">
        <v>3716.0994853124994</v>
      </c>
      <c r="C15" s="91">
        <v>3931.8588718749993</v>
      </c>
      <c r="D15" s="91">
        <v>4379.8060246874984</v>
      </c>
      <c r="E15" s="91">
        <v>4708.3736184374993</v>
      </c>
      <c r="F15" s="91">
        <v>5429.031874062498</v>
      </c>
    </row>
    <row r="16" spans="1:6" x14ac:dyDescent="0.2">
      <c r="A16" s="91">
        <v>12</v>
      </c>
      <c r="B16" s="91">
        <v>3831.0981431249998</v>
      </c>
      <c r="C16" s="91">
        <v>4065.4763599999997</v>
      </c>
      <c r="D16" s="91">
        <v>4568.1847784374986</v>
      </c>
      <c r="E16" s="91">
        <v>4931.7995821874993</v>
      </c>
      <c r="F16" s="91">
        <v>5602.0774734374991</v>
      </c>
    </row>
    <row r="17" spans="1:17" x14ac:dyDescent="0.2">
      <c r="A17" s="91">
        <v>13</v>
      </c>
      <c r="B17" s="91">
        <v>3949.3824768749992</v>
      </c>
      <c r="C17" s="91">
        <v>4202.3795240624995</v>
      </c>
      <c r="D17" s="91">
        <v>4765.3253346874999</v>
      </c>
      <c r="E17" s="91">
        <v>5163.9873484374993</v>
      </c>
      <c r="F17" s="91">
        <v>5775.1230728124992</v>
      </c>
    </row>
    <row r="18" spans="1:17" x14ac:dyDescent="0.2">
      <c r="A18" s="91">
        <v>14</v>
      </c>
      <c r="B18" s="91">
        <v>4072.0477118749995</v>
      </c>
      <c r="C18" s="91">
        <v>4344.7588146874996</v>
      </c>
      <c r="D18" s="91">
        <v>4970.1324681249989</v>
      </c>
      <c r="E18" s="91">
        <v>5401.6512412499987</v>
      </c>
      <c r="F18" s="91">
        <v>5947.0734468749988</v>
      </c>
    </row>
    <row r="19" spans="1:17" x14ac:dyDescent="0.2">
      <c r="A19" s="91">
        <v>15</v>
      </c>
      <c r="B19" s="91">
        <v>4205.6651999999985</v>
      </c>
      <c r="C19" s="91">
        <v>4534.2327937499995</v>
      </c>
      <c r="D19" s="91">
        <v>5183.7014040624999</v>
      </c>
      <c r="E19" s="91">
        <v>5656.8387390624985</v>
      </c>
      <c r="F19" s="91">
        <v>6124.4999474999986</v>
      </c>
    </row>
    <row r="21" spans="1:17" x14ac:dyDescent="0.2">
      <c r="A21" t="s">
        <v>221</v>
      </c>
    </row>
    <row r="22" spans="1:17" x14ac:dyDescent="0.2">
      <c r="A22" s="91"/>
      <c r="B22" s="91">
        <v>1</v>
      </c>
      <c r="C22" s="91">
        <v>2</v>
      </c>
      <c r="D22" s="91">
        <v>3</v>
      </c>
      <c r="E22" s="91">
        <v>4</v>
      </c>
      <c r="F22" s="91">
        <v>5</v>
      </c>
      <c r="G22" s="91">
        <v>6</v>
      </c>
      <c r="H22" s="91">
        <v>7</v>
      </c>
      <c r="I22" s="91">
        <v>8</v>
      </c>
      <c r="J22" s="91">
        <v>9</v>
      </c>
      <c r="K22" s="91">
        <v>10</v>
      </c>
      <c r="L22" s="91">
        <v>11</v>
      </c>
      <c r="M22" s="91">
        <v>12</v>
      </c>
      <c r="N22" s="91">
        <v>13</v>
      </c>
      <c r="O22" s="91">
        <v>14</v>
      </c>
      <c r="P22" s="91">
        <v>15</v>
      </c>
      <c r="Q22" s="91">
        <v>16</v>
      </c>
    </row>
    <row r="23" spans="1:17" x14ac:dyDescent="0.2">
      <c r="A23" s="91">
        <v>1</v>
      </c>
      <c r="B23" s="91">
        <v>1733.7980422458731</v>
      </c>
      <c r="C23" s="91">
        <v>1733.7980422458731</v>
      </c>
      <c r="D23" s="91">
        <v>1733.7980422458731</v>
      </c>
      <c r="E23" s="91">
        <v>1753.3067133181867</v>
      </c>
      <c r="F23" s="91">
        <v>1789.4175926704154</v>
      </c>
      <c r="G23" s="91">
        <v>1856.9798830713592</v>
      </c>
      <c r="H23" s="91">
        <v>1982.78552726622</v>
      </c>
      <c r="I23" s="91">
        <v>2241.3860181112123</v>
      </c>
      <c r="J23" s="91">
        <v>2590.8053787193708</v>
      </c>
      <c r="K23" s="91">
        <v>2572.2082676606619</v>
      </c>
      <c r="L23" s="91">
        <v>2702.6733801590358</v>
      </c>
      <c r="M23" s="91">
        <v>3628.7427054823197</v>
      </c>
      <c r="N23" s="91">
        <v>4398.7198426379045</v>
      </c>
      <c r="O23" s="91">
        <v>5035.9021331433587</v>
      </c>
      <c r="P23" s="91">
        <v>5285.1836873813236</v>
      </c>
      <c r="Q23" s="91">
        <v>5730.1629103668502</v>
      </c>
    </row>
    <row r="24" spans="1:17" x14ac:dyDescent="0.2">
      <c r="A24" s="91">
        <v>2</v>
      </c>
      <c r="B24" s="91">
        <v>1753.3067133181867</v>
      </c>
      <c r="C24" s="91">
        <v>1789.4175926704154</v>
      </c>
      <c r="D24" s="91">
        <v>1856.9798830713592</v>
      </c>
      <c r="E24" s="91">
        <v>1824.3636049467655</v>
      </c>
      <c r="F24" s="91">
        <v>1824.3636049467655</v>
      </c>
      <c r="G24" s="91">
        <v>1932.6962430034514</v>
      </c>
      <c r="H24" s="91">
        <v>2039.8640139842589</v>
      </c>
      <c r="I24" s="91">
        <v>2304.2888402086433</v>
      </c>
      <c r="J24" s="91">
        <v>2721.2704912177401</v>
      </c>
      <c r="K24" s="91">
        <v>2828.4790243538978</v>
      </c>
      <c r="L24" s="91">
        <v>2828.4790243538978</v>
      </c>
      <c r="M24" s="91">
        <v>3765.0321533600859</v>
      </c>
      <c r="N24" s="91">
        <v>4530.3498222121561</v>
      </c>
      <c r="O24" s="91">
        <v>5164.0375114899762</v>
      </c>
      <c r="P24" s="91">
        <v>5413.3190657279401</v>
      </c>
      <c r="Q24" s="91">
        <v>5889.7496997621838</v>
      </c>
    </row>
    <row r="25" spans="1:17" x14ac:dyDescent="0.2">
      <c r="A25" s="91">
        <v>3</v>
      </c>
      <c r="B25" s="91">
        <v>1824.3636049467655</v>
      </c>
      <c r="C25" s="91">
        <v>1856.9798830713592</v>
      </c>
      <c r="D25" s="91">
        <v>1932.6962430034514</v>
      </c>
      <c r="E25" s="91">
        <v>1894.2556294994661</v>
      </c>
      <c r="F25" s="91">
        <v>1932.6962430034514</v>
      </c>
      <c r="G25" s="91">
        <v>2176.1534618620253</v>
      </c>
      <c r="H25" s="91">
        <v>2176.1534618620253</v>
      </c>
      <c r="I25" s="91">
        <v>2427.7647502517475</v>
      </c>
      <c r="J25" s="91">
        <v>2984.530450366251</v>
      </c>
      <c r="K25" s="91">
        <v>2965.9333393075422</v>
      </c>
      <c r="L25" s="91">
        <v>2965.9333393075422</v>
      </c>
      <c r="M25" s="91">
        <v>3883.8485950996769</v>
      </c>
      <c r="N25" s="91">
        <v>4654.9905993311404</v>
      </c>
      <c r="O25" s="91">
        <v>5413.3190657279401</v>
      </c>
      <c r="P25" s="91">
        <v>5570.5761209715183</v>
      </c>
      <c r="Q25" s="91">
        <v>6047.0067550057602</v>
      </c>
    </row>
    <row r="26" spans="1:17" x14ac:dyDescent="0.2">
      <c r="A26" s="91">
        <v>4</v>
      </c>
      <c r="B26" s="91">
        <v>1856.9798830713592</v>
      </c>
      <c r="C26" s="91">
        <v>1932.6962430034514</v>
      </c>
      <c r="D26" s="91">
        <v>2039.8640139842589</v>
      </c>
      <c r="E26" s="91">
        <v>1982.78552726622</v>
      </c>
      <c r="F26" s="91">
        <v>2039.8640139842589</v>
      </c>
      <c r="G26" s="91">
        <v>2304.2888402086433</v>
      </c>
      <c r="H26" s="91">
        <v>2427.7647502517475</v>
      </c>
      <c r="I26" s="91">
        <v>2677.0463044897133</v>
      </c>
      <c r="J26" s="91">
        <v>3134.7983031545568</v>
      </c>
      <c r="K26" s="91">
        <v>3116.2011920958485</v>
      </c>
      <c r="L26" s="91">
        <v>3116.2011920958485</v>
      </c>
      <c r="M26" s="91">
        <v>4008.4893722186598</v>
      </c>
      <c r="N26" s="91">
        <v>4783.125977677757</v>
      </c>
      <c r="O26" s="91">
        <v>5570.5761209715183</v>
      </c>
      <c r="P26" s="91">
        <v>5889.7496997621838</v>
      </c>
      <c r="Q26" s="91">
        <v>6377.8290045552112</v>
      </c>
    </row>
    <row r="27" spans="1:17" x14ac:dyDescent="0.2">
      <c r="A27" s="91">
        <v>5</v>
      </c>
      <c r="B27" s="91">
        <v>1894.2556294994661</v>
      </c>
      <c r="C27" s="91">
        <v>1982.78552726622</v>
      </c>
      <c r="D27" s="91">
        <v>2109.7560385369597</v>
      </c>
      <c r="E27" s="91">
        <v>2109.7560385369597</v>
      </c>
      <c r="F27" s="91">
        <v>2176.1534618620253</v>
      </c>
      <c r="G27" s="91">
        <v>2367.1916623060742</v>
      </c>
      <c r="H27" s="91">
        <v>2546.581191991339</v>
      </c>
      <c r="I27" s="91">
        <v>2800.5222145328175</v>
      </c>
      <c r="J27" s="91">
        <v>3265.2634156529321</v>
      </c>
      <c r="K27" s="91">
        <v>3246.6663045942232</v>
      </c>
      <c r="L27" s="91">
        <v>3246.6663045942232</v>
      </c>
      <c r="M27" s="91">
        <v>4128.4706810341295</v>
      </c>
      <c r="N27" s="91">
        <v>4904.2721535691044</v>
      </c>
      <c r="O27" s="91">
        <v>5730.1629103668502</v>
      </c>
      <c r="P27" s="91">
        <v>6047.0067550057602</v>
      </c>
      <c r="Q27" s="91">
        <v>6547.8995976334481</v>
      </c>
    </row>
    <row r="28" spans="1:17" x14ac:dyDescent="0.2">
      <c r="A28" s="91">
        <v>6</v>
      </c>
      <c r="B28" s="91">
        <v>1932.6962430034514</v>
      </c>
      <c r="C28" s="91">
        <v>2039.8640139842589</v>
      </c>
      <c r="D28" s="91">
        <v>2176.1534618620253</v>
      </c>
      <c r="E28" s="91">
        <v>2176.1534618620253</v>
      </c>
      <c r="F28" s="91">
        <v>2241.3860181112123</v>
      </c>
      <c r="G28" s="91">
        <v>2427.7647502517475</v>
      </c>
      <c r="H28" s="91">
        <v>2614.1434823922827</v>
      </c>
      <c r="I28" s="91">
        <v>2937.9765294864615</v>
      </c>
      <c r="J28" s="91">
        <v>3398.0582623030632</v>
      </c>
      <c r="K28" s="91">
        <v>3379.4611512443539</v>
      </c>
      <c r="L28" s="91">
        <v>3379.4611512443539</v>
      </c>
      <c r="M28" s="91">
        <v>4264.7601289118957</v>
      </c>
      <c r="N28" s="91">
        <v>5164.0375114899762</v>
      </c>
      <c r="O28" s="91">
        <v>5889.7496997621838</v>
      </c>
      <c r="P28" s="91">
        <v>6207.7584114769725</v>
      </c>
      <c r="Q28" s="91">
        <v>6726.1242602428347</v>
      </c>
    </row>
    <row r="29" spans="1:17" x14ac:dyDescent="0.2">
      <c r="A29" s="91">
        <v>7</v>
      </c>
      <c r="B29" s="91">
        <v>1982.78552726622</v>
      </c>
      <c r="C29" s="91">
        <v>2109.7560385369597</v>
      </c>
      <c r="D29" s="91">
        <v>2241.3860181112123</v>
      </c>
      <c r="E29" s="91">
        <v>2241.3860181112123</v>
      </c>
      <c r="F29" s="91">
        <v>2304.2888402086433</v>
      </c>
      <c r="G29" s="91">
        <v>2488.3378381974217</v>
      </c>
      <c r="H29" s="91">
        <v>2677.0463044897133</v>
      </c>
      <c r="I29" s="91">
        <v>3014.857756494433</v>
      </c>
      <c r="J29" s="91">
        <v>3522.6990394220461</v>
      </c>
      <c r="K29" s="91">
        <v>3504.1019283633373</v>
      </c>
      <c r="L29" s="91">
        <v>3504.1019283633373</v>
      </c>
      <c r="M29" s="91">
        <v>4530.3498222121561</v>
      </c>
      <c r="N29" s="91">
        <v>5285.1836873813236</v>
      </c>
      <c r="O29" s="91">
        <v>6047.0067550057602</v>
      </c>
      <c r="P29" s="91">
        <v>6377.8290045552112</v>
      </c>
      <c r="Q29" s="91">
        <v>6938.1300680526938</v>
      </c>
    </row>
    <row r="30" spans="1:17" x14ac:dyDescent="0.2">
      <c r="A30" s="91">
        <v>8</v>
      </c>
      <c r="B30" s="91"/>
      <c r="C30" s="91">
        <v>2176.1534618620253</v>
      </c>
      <c r="D30" s="91">
        <v>2304.2888402086433</v>
      </c>
      <c r="E30" s="91">
        <v>2304.2888402086433</v>
      </c>
      <c r="F30" s="91">
        <v>2367.1916623060742</v>
      </c>
      <c r="G30" s="91">
        <v>2546.581191991339</v>
      </c>
      <c r="H30" s="91">
        <v>2737.619392435387</v>
      </c>
      <c r="I30" s="91">
        <v>3085.9146481230123</v>
      </c>
      <c r="J30" s="91">
        <v>3647.3398165410285</v>
      </c>
      <c r="K30" s="91">
        <v>3628.7427054823197</v>
      </c>
      <c r="L30" s="91">
        <v>3765.0321533600859</v>
      </c>
      <c r="M30" s="91">
        <v>4654.9905993311404</v>
      </c>
      <c r="N30" s="91">
        <v>5413.3190657279401</v>
      </c>
      <c r="O30" s="91">
        <v>6207.7584114769725</v>
      </c>
      <c r="P30" s="91">
        <v>6547.8995976334481</v>
      </c>
      <c r="Q30" s="91">
        <v>7160.619679545458</v>
      </c>
    </row>
    <row r="31" spans="1:17" x14ac:dyDescent="0.2">
      <c r="A31" s="91">
        <v>9</v>
      </c>
      <c r="B31" s="91"/>
      <c r="C31" s="91"/>
      <c r="D31" s="91">
        <v>2367.1916623060742</v>
      </c>
      <c r="E31" s="91">
        <v>2367.1916623060742</v>
      </c>
      <c r="F31" s="91">
        <v>2427.7647502517475</v>
      </c>
      <c r="G31" s="91">
        <v>2614.1434823922827</v>
      </c>
      <c r="H31" s="91">
        <v>2800.5222145328175</v>
      </c>
      <c r="I31" s="91">
        <v>3148.8174702204419</v>
      </c>
      <c r="J31" s="91">
        <v>3783.6292644188002</v>
      </c>
      <c r="K31" s="91">
        <v>3765.0321533600859</v>
      </c>
      <c r="L31" s="91">
        <v>3883.8485950996769</v>
      </c>
      <c r="M31" s="91">
        <v>4783.125977677757</v>
      </c>
      <c r="N31" s="91">
        <v>5570.5761209715183</v>
      </c>
      <c r="O31" s="91">
        <v>6377.8290045552112</v>
      </c>
      <c r="P31" s="91">
        <v>6726.1242602428347</v>
      </c>
      <c r="Q31" s="91">
        <v>7387.768759341734</v>
      </c>
    </row>
    <row r="32" spans="1:17" x14ac:dyDescent="0.2">
      <c r="A32" s="91">
        <v>10</v>
      </c>
      <c r="B32" s="91"/>
      <c r="C32" s="91"/>
      <c r="D32" s="91"/>
      <c r="E32" s="91">
        <v>2427.7647502517475</v>
      </c>
      <c r="F32" s="91">
        <v>2488.3378381974217</v>
      </c>
      <c r="G32" s="91">
        <v>2677.0463044897133</v>
      </c>
      <c r="H32" s="91">
        <v>2868.0845049337609</v>
      </c>
      <c r="I32" s="91">
        <v>3216.3797606213852</v>
      </c>
      <c r="J32" s="91">
        <v>3902.4457061583857</v>
      </c>
      <c r="K32" s="91">
        <v>3883.8485950996769</v>
      </c>
      <c r="L32" s="91">
        <v>4008.4893722186598</v>
      </c>
      <c r="M32" s="91">
        <v>4904.2721535691044</v>
      </c>
      <c r="N32" s="91">
        <v>5730.1629103668502</v>
      </c>
      <c r="O32" s="91">
        <v>6547.8995976334481</v>
      </c>
      <c r="P32" s="91">
        <v>6938.1300680526938</v>
      </c>
      <c r="Q32" s="91">
        <v>7623.0719086691588</v>
      </c>
    </row>
    <row r="33" spans="1:17" x14ac:dyDescent="0.2">
      <c r="A33" s="91">
        <v>11</v>
      </c>
      <c r="B33" s="91"/>
      <c r="C33" s="91"/>
      <c r="D33" s="91"/>
      <c r="E33" s="91">
        <v>2488.3378381974217</v>
      </c>
      <c r="F33" s="91">
        <v>2546.581191991339</v>
      </c>
      <c r="G33" s="91">
        <v>2737.619392435387</v>
      </c>
      <c r="H33" s="91">
        <v>2937.9765294864615</v>
      </c>
      <c r="I33" s="91">
        <v>3283.9420510223304</v>
      </c>
      <c r="J33" s="91"/>
      <c r="K33" s="91">
        <v>4008.4893722186598</v>
      </c>
      <c r="L33" s="91">
        <v>4128.4706810341295</v>
      </c>
      <c r="M33" s="91">
        <v>5035.9021331433587</v>
      </c>
      <c r="N33" s="91">
        <v>5889.7496997621838</v>
      </c>
      <c r="O33" s="91">
        <v>6726.1242602428347</v>
      </c>
      <c r="P33" s="91">
        <v>7160.619679545458</v>
      </c>
      <c r="Q33" s="91">
        <v>7861.8696592242195</v>
      </c>
    </row>
    <row r="34" spans="1:17" x14ac:dyDescent="0.2">
      <c r="A34" s="91">
        <v>12</v>
      </c>
      <c r="B34" s="91"/>
      <c r="C34" s="91"/>
      <c r="D34" s="91"/>
      <c r="E34" s="91"/>
      <c r="F34" s="91">
        <v>2614.1434823922827</v>
      </c>
      <c r="G34" s="91"/>
      <c r="H34" s="91">
        <v>3014.857756494433</v>
      </c>
      <c r="I34" s="91">
        <v>3346.8448731197605</v>
      </c>
      <c r="J34" s="91"/>
      <c r="K34" s="91">
        <v>4128.4706810341295</v>
      </c>
      <c r="L34" s="91">
        <v>4264.7601289118957</v>
      </c>
      <c r="M34" s="91">
        <v>5164.0375114899762</v>
      </c>
      <c r="N34" s="91">
        <v>6047.0067550057602</v>
      </c>
      <c r="O34" s="91"/>
      <c r="P34" s="91">
        <v>7387.768759341734</v>
      </c>
      <c r="Q34" s="91">
        <v>8112.316080538063</v>
      </c>
    </row>
    <row r="35" spans="1:17" x14ac:dyDescent="0.2">
      <c r="A35" s="91">
        <v>13</v>
      </c>
      <c r="B35" s="91"/>
      <c r="C35" s="91"/>
      <c r="D35" s="91"/>
      <c r="E35" s="91"/>
      <c r="F35" s="91"/>
      <c r="G35" s="91"/>
      <c r="H35" s="91"/>
      <c r="I35" s="91">
        <v>3406.2530939895564</v>
      </c>
      <c r="J35" s="91"/>
      <c r="K35" s="91">
        <v>4264.7601289118957</v>
      </c>
      <c r="L35" s="91">
        <v>4398.7198426379045</v>
      </c>
      <c r="M35" s="91">
        <v>5285.1836873813236</v>
      </c>
      <c r="N35" s="91">
        <v>6125.0528490896095</v>
      </c>
      <c r="O35" s="91"/>
      <c r="P35" s="91"/>
      <c r="Q35" s="91"/>
    </row>
    <row r="36" spans="1:17" x14ac:dyDescent="0.2">
      <c r="A36" s="91">
        <v>14</v>
      </c>
      <c r="B36" s="91"/>
      <c r="C36" s="91"/>
      <c r="D36" s="91"/>
      <c r="E36" s="91"/>
      <c r="F36" s="91"/>
      <c r="G36" s="91"/>
      <c r="H36" s="91"/>
      <c r="I36" s="91"/>
      <c r="J36" s="91"/>
      <c r="K36" s="91"/>
      <c r="L36" s="91">
        <v>4530.3498222121561</v>
      </c>
      <c r="M36" s="91">
        <v>5413.3190657279401</v>
      </c>
      <c r="N36" s="91"/>
      <c r="O36" s="91"/>
      <c r="P36" s="91"/>
      <c r="Q36" s="91"/>
    </row>
    <row r="37" spans="1:17" x14ac:dyDescent="0.2">
      <c r="A37" s="91">
        <v>15</v>
      </c>
      <c r="B37" s="91"/>
      <c r="C37" s="91"/>
      <c r="D37" s="91"/>
      <c r="E37" s="91"/>
      <c r="F37" s="91"/>
      <c r="G37" s="91"/>
      <c r="H37" s="91"/>
      <c r="I37" s="91"/>
      <c r="J37" s="91"/>
      <c r="K37" s="91"/>
      <c r="L37" s="91">
        <v>4654.9905993311404</v>
      </c>
      <c r="M37" s="91">
        <v>5570.5761209715183</v>
      </c>
      <c r="N37" s="91"/>
      <c r="O37" s="91"/>
      <c r="P37" s="91"/>
      <c r="Q37" s="91"/>
    </row>
    <row r="38" spans="1:17" x14ac:dyDescent="0.2">
      <c r="A38" s="91">
        <v>16</v>
      </c>
      <c r="B38" s="91"/>
      <c r="C38" s="91"/>
      <c r="D38" s="91"/>
      <c r="E38" s="91"/>
      <c r="F38" s="91"/>
      <c r="G38" s="91"/>
      <c r="H38" s="91"/>
      <c r="I38" s="91"/>
      <c r="J38" s="91"/>
      <c r="K38" s="91"/>
      <c r="L38" s="91">
        <v>4783.125977677757</v>
      </c>
      <c r="M38" s="91">
        <v>5650.951949207124</v>
      </c>
      <c r="N38" s="91"/>
      <c r="O38" s="91"/>
      <c r="P38" s="91"/>
      <c r="Q38" s="91"/>
    </row>
    <row r="39" spans="1:17" x14ac:dyDescent="0.2">
      <c r="A39" s="91">
        <v>17</v>
      </c>
      <c r="B39" s="91"/>
      <c r="C39" s="91"/>
      <c r="D39" s="91"/>
      <c r="E39" s="91"/>
      <c r="F39" s="91"/>
      <c r="G39" s="91"/>
      <c r="H39" s="91"/>
      <c r="I39" s="91"/>
      <c r="J39" s="91"/>
      <c r="K39" s="91"/>
      <c r="L39" s="91">
        <v>4904.2721535691044</v>
      </c>
      <c r="M39" s="91"/>
      <c r="N39" s="91"/>
      <c r="O39" s="91"/>
      <c r="P39" s="91"/>
      <c r="Q39" s="91"/>
    </row>
    <row r="40" spans="1:17" x14ac:dyDescent="0.2">
      <c r="A40" s="91">
        <v>18</v>
      </c>
      <c r="B40" s="91"/>
      <c r="C40" s="91"/>
      <c r="D40" s="91"/>
      <c r="E40" s="91"/>
      <c r="F40" s="91"/>
      <c r="G40" s="91"/>
      <c r="H40" s="91"/>
      <c r="I40" s="91"/>
      <c r="J40" s="91"/>
      <c r="K40" s="91"/>
      <c r="L40" s="91">
        <v>4970.6695768941709</v>
      </c>
      <c r="M40" s="91"/>
      <c r="N40" s="91"/>
      <c r="O40" s="91"/>
      <c r="P40" s="91"/>
      <c r="Q40" s="91"/>
    </row>
    <row r="42" spans="1:17" x14ac:dyDescent="0.2">
      <c r="A42" t="s">
        <v>229</v>
      </c>
    </row>
    <row r="44" spans="1:17" x14ac:dyDescent="0.2">
      <c r="A44" s="91"/>
      <c r="B44" s="91" t="s">
        <v>230</v>
      </c>
      <c r="D44" s="92"/>
      <c r="E44" s="92" t="s">
        <v>231</v>
      </c>
      <c r="F44" s="92" t="s">
        <v>231</v>
      </c>
      <c r="G44" s="92" t="s">
        <v>232</v>
      </c>
    </row>
    <row r="45" spans="1:17" x14ac:dyDescent="0.2">
      <c r="A45" s="91"/>
      <c r="B45" s="91" t="s">
        <v>233</v>
      </c>
      <c r="D45" s="92"/>
      <c r="E45" s="92" t="s">
        <v>234</v>
      </c>
      <c r="F45" s="92" t="s">
        <v>235</v>
      </c>
      <c r="G45" s="92"/>
    </row>
    <row r="46" spans="1:17" x14ac:dyDescent="0.2">
      <c r="A46" s="91" t="s">
        <v>236</v>
      </c>
      <c r="B46" s="93">
        <v>1701</v>
      </c>
      <c r="D46" s="92">
        <v>1</v>
      </c>
      <c r="E46" s="93">
        <v>1701</v>
      </c>
      <c r="F46" s="93">
        <v>1701</v>
      </c>
      <c r="G46" s="93">
        <v>1701</v>
      </c>
    </row>
    <row r="47" spans="1:17" x14ac:dyDescent="0.2">
      <c r="A47" s="91" t="s">
        <v>237</v>
      </c>
      <c r="B47" s="93">
        <v>1701</v>
      </c>
      <c r="D47" s="92">
        <v>2</v>
      </c>
      <c r="E47" s="91">
        <v>1756.619550424542</v>
      </c>
      <c r="F47" s="91">
        <v>1824.181840825486</v>
      </c>
      <c r="G47" s="91">
        <v>1757.69433</v>
      </c>
    </row>
    <row r="48" spans="1:17" x14ac:dyDescent="0.2">
      <c r="A48" s="91">
        <v>1</v>
      </c>
      <c r="B48" s="93">
        <v>1701</v>
      </c>
      <c r="D48" s="92">
        <v>3</v>
      </c>
      <c r="E48" s="91">
        <v>1824.181840825486</v>
      </c>
      <c r="F48" s="91">
        <v>1899.8982007575783</v>
      </c>
      <c r="G48" s="91">
        <v>1814.4056700000001</v>
      </c>
    </row>
    <row r="49" spans="1:7" x14ac:dyDescent="0.2">
      <c r="A49" s="91">
        <v>2</v>
      </c>
      <c r="B49" s="91">
        <v>1720.5086710723133</v>
      </c>
      <c r="D49" s="92">
        <v>4</v>
      </c>
      <c r="E49" s="91">
        <v>1899.8982007575783</v>
      </c>
      <c r="F49" s="91">
        <v>2007.0659717383855</v>
      </c>
      <c r="G49" s="91">
        <v>1871.1000000000001</v>
      </c>
    </row>
    <row r="50" spans="1:7" x14ac:dyDescent="0.2">
      <c r="A50" s="91">
        <v>3</v>
      </c>
      <c r="B50" s="91">
        <v>1791.5655627008923</v>
      </c>
      <c r="D50" s="92">
        <v>5</v>
      </c>
      <c r="E50" s="91">
        <v>1949.9874850203469</v>
      </c>
      <c r="F50" s="91">
        <v>2076.9579962910866</v>
      </c>
      <c r="G50" s="91"/>
    </row>
    <row r="51" spans="1:7" x14ac:dyDescent="0.2">
      <c r="A51" s="91">
        <v>4</v>
      </c>
      <c r="B51" s="91">
        <v>1824.181840825486</v>
      </c>
      <c r="D51" s="92">
        <v>6</v>
      </c>
      <c r="E51" s="91">
        <v>2007.0659717383855</v>
      </c>
      <c r="F51" s="91">
        <v>2143.3554196161522</v>
      </c>
      <c r="G51" s="91"/>
    </row>
    <row r="52" spans="1:7" x14ac:dyDescent="0.2">
      <c r="A52" s="91">
        <v>5</v>
      </c>
      <c r="B52" s="91">
        <v>1861.4575872535927</v>
      </c>
      <c r="D52" s="92">
        <v>7</v>
      </c>
      <c r="E52" s="91">
        <v>2076.9579962910866</v>
      </c>
      <c r="F52" s="91">
        <v>2208.5879758653391</v>
      </c>
      <c r="G52" s="91"/>
    </row>
    <row r="53" spans="1:7" x14ac:dyDescent="0.2">
      <c r="A53" s="91">
        <v>6</v>
      </c>
      <c r="B53" s="91">
        <v>1899.8982007575783</v>
      </c>
      <c r="D53" s="92">
        <v>8</v>
      </c>
      <c r="E53" s="91">
        <v>2143.3554196161522</v>
      </c>
      <c r="F53" s="91" t="s">
        <v>238</v>
      </c>
      <c r="G53" s="91"/>
    </row>
    <row r="54" spans="1:7" x14ac:dyDescent="0.2">
      <c r="A54" s="91">
        <v>7</v>
      </c>
      <c r="B54" s="91">
        <v>1949.9874850203469</v>
      </c>
    </row>
    <row r="56" spans="1:7" x14ac:dyDescent="0.2">
      <c r="A56" t="s">
        <v>239</v>
      </c>
    </row>
    <row r="57" spans="1:7" x14ac:dyDescent="0.2">
      <c r="A57" s="91"/>
      <c r="B57" s="91" t="s">
        <v>188</v>
      </c>
      <c r="C57" s="91" t="s">
        <v>189</v>
      </c>
      <c r="D57" s="91" t="s">
        <v>190</v>
      </c>
      <c r="E57" s="91" t="s">
        <v>191</v>
      </c>
      <c r="F57" s="91" t="s">
        <v>192</v>
      </c>
    </row>
    <row r="58" spans="1:7" x14ac:dyDescent="0.2">
      <c r="A58" s="91">
        <v>1</v>
      </c>
      <c r="B58" s="91">
        <v>3429.9251250000002</v>
      </c>
      <c r="C58" s="91">
        <v>3536.7763749999999</v>
      </c>
      <c r="D58" s="91">
        <v>3643.6276249999996</v>
      </c>
      <c r="E58" s="91">
        <v>3750.4788749999998</v>
      </c>
      <c r="F58" s="91">
        <v>3500.7977585366493</v>
      </c>
    </row>
    <row r="59" spans="1:7" x14ac:dyDescent="0.2">
      <c r="A59" s="91">
        <v>2</v>
      </c>
      <c r="B59" s="91">
        <v>3537.6247739249998</v>
      </c>
      <c r="C59" s="91">
        <v>3657.2036105687498</v>
      </c>
      <c r="D59" s="91">
        <v>3772.0509242707499</v>
      </c>
      <c r="E59" s="91">
        <v>3868.7314739287499</v>
      </c>
      <c r="F59" s="91">
        <v>3758.2333823057634</v>
      </c>
    </row>
    <row r="60" spans="1:7" x14ac:dyDescent="0.2">
      <c r="A60" s="91">
        <v>3</v>
      </c>
      <c r="B60" s="91">
        <v>3648.7061918262448</v>
      </c>
      <c r="C60" s="91">
        <v>3781.7313935086154</v>
      </c>
      <c r="D60" s="91">
        <v>3905.0006311475968</v>
      </c>
      <c r="E60" s="91">
        <v>3990.7125773017233</v>
      </c>
      <c r="F60" s="91">
        <v>4000.5257340884586</v>
      </c>
    </row>
    <row r="61" spans="1:7" x14ac:dyDescent="0.2">
      <c r="A61" s="91">
        <v>4</v>
      </c>
      <c r="B61" s="91">
        <v>3763.2755662495888</v>
      </c>
      <c r="C61" s="91">
        <v>3910.499347457584</v>
      </c>
      <c r="D61" s="91">
        <v>4042.6362833930252</v>
      </c>
      <c r="E61" s="91">
        <v>4116.539744864046</v>
      </c>
      <c r="F61" s="91">
        <v>4255.6316237058154</v>
      </c>
    </row>
    <row r="62" spans="1:7" x14ac:dyDescent="0.2">
      <c r="A62" s="91">
        <v>5</v>
      </c>
      <c r="B62" s="91">
        <v>3881.4424190298264</v>
      </c>
      <c r="C62" s="91">
        <v>4043.6518502385143</v>
      </c>
      <c r="D62" s="91">
        <v>4185.1230418374962</v>
      </c>
      <c r="E62" s="91">
        <v>4246.3342430196099</v>
      </c>
      <c r="F62" s="91">
        <v>4521.2213170060786</v>
      </c>
    </row>
    <row r="63" spans="1:7" x14ac:dyDescent="0.2">
      <c r="A63" s="91">
        <v>6</v>
      </c>
      <c r="B63" s="91">
        <v>4003.3197109873627</v>
      </c>
      <c r="C63" s="91">
        <v>4181.3381957391357</v>
      </c>
      <c r="D63" s="91">
        <v>4332.6318885701003</v>
      </c>
      <c r="E63" s="91">
        <v>4380.2211617020175</v>
      </c>
      <c r="F63" s="91">
        <v>4772.8326053958008</v>
      </c>
    </row>
    <row r="64" spans="1:7" x14ac:dyDescent="0.2">
      <c r="A64" s="91">
        <v>7</v>
      </c>
      <c r="B64" s="91">
        <v>4129.0239499123654</v>
      </c>
      <c r="C64" s="91">
        <v>4323.7127613040539</v>
      </c>
      <c r="D64" s="91">
        <v>4485.3398321146415</v>
      </c>
      <c r="E64" s="91">
        <v>4518.3295349304817</v>
      </c>
      <c r="F64" s="91">
        <v>5024.443893785523</v>
      </c>
    </row>
    <row r="65" spans="1:6" x14ac:dyDescent="0.2">
      <c r="A65" s="91">
        <v>8</v>
      </c>
      <c r="B65" s="91">
        <v>4258.6753019396137</v>
      </c>
      <c r="C65" s="91">
        <v>4470.9351808264564</v>
      </c>
      <c r="D65" s="91">
        <v>4643.4301198373541</v>
      </c>
      <c r="E65" s="91">
        <v>4660.7924651668409</v>
      </c>
      <c r="F65" s="91">
        <v>5150.249537980384</v>
      </c>
    </row>
    <row r="66" spans="1:6" x14ac:dyDescent="0.2">
      <c r="A66" s="91">
        <v>9</v>
      </c>
      <c r="B66" s="91">
        <v>4392.3977064205183</v>
      </c>
      <c r="C66" s="91">
        <v>4623.1705237335973</v>
      </c>
      <c r="D66" s="91">
        <v>4807.0924578411405</v>
      </c>
      <c r="E66" s="91">
        <v>4807.7472515935515</v>
      </c>
      <c r="F66" s="91">
        <v>5272.5605809476092</v>
      </c>
    </row>
    <row r="67" spans="1:6" x14ac:dyDescent="0.2">
      <c r="A67" s="91">
        <v>10</v>
      </c>
      <c r="B67" s="91">
        <v>4530.3189944021224</v>
      </c>
      <c r="C67" s="91">
        <v>4780.5894800667265</v>
      </c>
      <c r="D67" s="91">
        <v>4976.5232386102107</v>
      </c>
      <c r="E67" s="91">
        <v>4959.3355224362967</v>
      </c>
      <c r="F67" s="91">
        <v>5398.3662251424712</v>
      </c>
    </row>
    <row r="68" spans="1:6" x14ac:dyDescent="0.2">
      <c r="A68" s="91">
        <v>11</v>
      </c>
      <c r="B68" s="91">
        <v>4672.5710108263484</v>
      </c>
      <c r="C68" s="91">
        <v>4943.3685518629991</v>
      </c>
      <c r="D68" s="91">
        <v>5151.9257766782657</v>
      </c>
      <c r="E68" s="91">
        <v>5115.7033714587124</v>
      </c>
      <c r="F68" s="91">
        <v>5556.7881474619262</v>
      </c>
    </row>
    <row r="69" spans="1:6" x14ac:dyDescent="0.2">
      <c r="A69" s="91">
        <v>12</v>
      </c>
      <c r="B69" s="91">
        <v>4819.2897405662961</v>
      </c>
      <c r="C69" s="91">
        <v>5111.6902510539348</v>
      </c>
      <c r="D69" s="91">
        <v>5333.5105526030684</v>
      </c>
      <c r="E69" s="91">
        <v>5277.0014987608065</v>
      </c>
      <c r="F69" s="91">
        <v>5715.2100697813803</v>
      </c>
    </row>
    <row r="70" spans="1:6" x14ac:dyDescent="0.2">
      <c r="A70" s="91">
        <v>13</v>
      </c>
      <c r="B70" s="91">
        <v>4970.6695768941709</v>
      </c>
      <c r="C70" s="91">
        <v>5285.7433041023205</v>
      </c>
      <c r="D70" s="91">
        <v>5521.4954655401161</v>
      </c>
      <c r="E70" s="91">
        <v>5443.3853560167345</v>
      </c>
      <c r="F70" s="91">
        <v>5872.4671250249567</v>
      </c>
    </row>
    <row r="71" spans="1:6" x14ac:dyDescent="0.2">
      <c r="A71" s="91">
        <v>14</v>
      </c>
      <c r="B71" s="91" t="s">
        <v>238</v>
      </c>
      <c r="C71" s="91">
        <v>5465.7228636070049</v>
      </c>
      <c r="D71" s="91">
        <v>5716.1060947185433</v>
      </c>
      <c r="E71" s="91">
        <v>5615.0152962919419</v>
      </c>
      <c r="F71" s="91">
        <v>6030.8890473444117</v>
      </c>
    </row>
    <row r="72" spans="1:6" x14ac:dyDescent="0.2">
      <c r="A72" s="91">
        <v>15</v>
      </c>
      <c r="B72" s="91" t="s">
        <v>238</v>
      </c>
      <c r="C72" s="91">
        <v>5650.951949207124</v>
      </c>
      <c r="D72" s="91">
        <v>5917.5759701329916</v>
      </c>
      <c r="E72" s="91">
        <v>5792.056728584027</v>
      </c>
      <c r="F72" s="91">
        <v>6190.4758367397444</v>
      </c>
    </row>
    <row r="73" spans="1:6" x14ac:dyDescent="0.2">
      <c r="A73" s="91">
        <v>16</v>
      </c>
      <c r="B73" s="91" t="s">
        <v>238</v>
      </c>
      <c r="C73" s="91" t="s">
        <v>238</v>
      </c>
      <c r="D73" s="91">
        <v>6125.0528490896095</v>
      </c>
      <c r="E73" s="91">
        <v>5974.6802772362807</v>
      </c>
      <c r="F73" s="91">
        <v>6358.2166956662259</v>
      </c>
    </row>
    <row r="74" spans="1:6" x14ac:dyDescent="0.2">
      <c r="A74" s="91">
        <v>17</v>
      </c>
      <c r="B74" s="91" t="s">
        <v>238</v>
      </c>
      <c r="C74" s="91" t="s">
        <v>238</v>
      </c>
      <c r="D74" s="91" t="s">
        <v>238</v>
      </c>
      <c r="E74" s="91">
        <v>6163.0619463775411</v>
      </c>
      <c r="F74" s="91">
        <v>6529.4521558203423</v>
      </c>
    </row>
    <row r="75" spans="1:6" x14ac:dyDescent="0.2">
      <c r="A75" s="91">
        <v>18</v>
      </c>
      <c r="B75" s="91" t="s">
        <v>238</v>
      </c>
      <c r="C75" s="91" t="s">
        <v>238</v>
      </c>
      <c r="D75" s="91" t="s">
        <v>238</v>
      </c>
      <c r="E75" s="91">
        <v>6357.3832895468249</v>
      </c>
      <c r="F75" s="91">
        <v>6706.5119513538511</v>
      </c>
    </row>
    <row r="76" spans="1:6" x14ac:dyDescent="0.2">
      <c r="A76" s="94"/>
      <c r="B76" s="94"/>
      <c r="C76" s="94"/>
      <c r="D76" s="94"/>
      <c r="E76" s="94"/>
      <c r="F76" s="94"/>
    </row>
    <row r="77" spans="1:6" x14ac:dyDescent="0.2">
      <c r="A77" s="94" t="s">
        <v>240</v>
      </c>
      <c r="B77" s="94"/>
      <c r="C77" s="94"/>
      <c r="D77" s="94"/>
      <c r="E77" s="94"/>
      <c r="F77" s="94"/>
    </row>
    <row r="78" spans="1:6" x14ac:dyDescent="0.2">
      <c r="A78" s="91"/>
      <c r="B78" s="91" t="s">
        <v>184</v>
      </c>
      <c r="C78" s="91" t="s">
        <v>185</v>
      </c>
      <c r="D78" s="91" t="s">
        <v>186</v>
      </c>
      <c r="E78" s="91" t="s">
        <v>187</v>
      </c>
      <c r="F78" s="94"/>
    </row>
    <row r="79" spans="1:6" x14ac:dyDescent="0.2">
      <c r="A79" s="91">
        <v>1</v>
      </c>
      <c r="B79" s="91">
        <v>2738.0632812499998</v>
      </c>
      <c r="C79" s="91">
        <v>2820.2051796874994</v>
      </c>
      <c r="D79" s="91">
        <v>2874.9664453124992</v>
      </c>
      <c r="E79" s="91">
        <v>2874.9664453124992</v>
      </c>
      <c r="F79" s="94"/>
    </row>
    <row r="80" spans="1:6" x14ac:dyDescent="0.2">
      <c r="A80" s="91">
        <v>2</v>
      </c>
      <c r="B80" s="91">
        <v>2823.4908556249998</v>
      </c>
      <c r="C80" s="91">
        <v>2915.4897818749996</v>
      </c>
      <c r="D80" s="91">
        <v>2998.7269056249997</v>
      </c>
      <c r="E80" s="91">
        <v>2998.7269056249997</v>
      </c>
      <c r="F80" s="94"/>
    </row>
    <row r="81" spans="1:6" x14ac:dyDescent="0.2">
      <c r="A81" s="91">
        <v>3</v>
      </c>
      <c r="B81" s="91">
        <v>2910.0136553124994</v>
      </c>
      <c r="C81" s="91">
        <v>3014.0600599999993</v>
      </c>
      <c r="D81" s="91">
        <v>3127.9634924999991</v>
      </c>
      <c r="E81" s="91">
        <v>3164.1059278124994</v>
      </c>
      <c r="F81" s="94"/>
    </row>
    <row r="82" spans="1:6" x14ac:dyDescent="0.2">
      <c r="A82" s="91">
        <v>4</v>
      </c>
      <c r="B82" s="91">
        <v>3000.9173562499991</v>
      </c>
      <c r="C82" s="91">
        <v>3115.916014062499</v>
      </c>
      <c r="D82" s="91">
        <v>3261.5809806249995</v>
      </c>
      <c r="E82" s="91">
        <v>3338.2467524999997</v>
      </c>
      <c r="F82" s="94"/>
    </row>
    <row r="83" spans="1:6" x14ac:dyDescent="0.2">
      <c r="A83" s="91">
        <v>5</v>
      </c>
      <c r="B83" s="91">
        <v>3094.0115078124995</v>
      </c>
      <c r="C83" s="91">
        <v>3221.0576440624995</v>
      </c>
      <c r="D83" s="91">
        <v>3401.7698206249993</v>
      </c>
      <c r="E83" s="91">
        <v>3513.4828024999993</v>
      </c>
      <c r="F83" s="94"/>
    </row>
    <row r="84" spans="1:6" x14ac:dyDescent="0.2">
      <c r="A84" s="91">
        <v>6</v>
      </c>
      <c r="B84" s="91">
        <v>3189.2961099999993</v>
      </c>
      <c r="C84" s="91">
        <v>3330.5801753124993</v>
      </c>
      <c r="D84" s="91">
        <v>3548.530012499999</v>
      </c>
      <c r="E84" s="91">
        <v>3696.3854296874988</v>
      </c>
      <c r="F84" s="94"/>
    </row>
    <row r="85" spans="1:6" x14ac:dyDescent="0.2">
      <c r="A85" s="91">
        <v>7</v>
      </c>
      <c r="B85" s="91">
        <v>3288.9616134374996</v>
      </c>
      <c r="C85" s="91">
        <v>3442.2931571874997</v>
      </c>
      <c r="D85" s="91">
        <v>3700.7663309374998</v>
      </c>
      <c r="E85" s="91">
        <v>3885.8594087499996</v>
      </c>
      <c r="F85" s="94"/>
    </row>
    <row r="86" spans="1:6" x14ac:dyDescent="0.2">
      <c r="A86" s="91">
        <v>8</v>
      </c>
      <c r="B86" s="91">
        <v>3390.8175674999993</v>
      </c>
      <c r="C86" s="91">
        <v>3559.4822656249989</v>
      </c>
      <c r="D86" s="91">
        <v>3860.6692265624993</v>
      </c>
      <c r="E86" s="91">
        <v>4078.619063749999</v>
      </c>
      <c r="F86" s="94"/>
    </row>
    <row r="87" spans="1:6" x14ac:dyDescent="0.2">
      <c r="A87" s="91">
        <v>9</v>
      </c>
      <c r="B87" s="91">
        <v>3495.9591974999994</v>
      </c>
      <c r="C87" s="91">
        <v>3678.8618246874994</v>
      </c>
      <c r="D87" s="91">
        <v>4026.0482487499994</v>
      </c>
      <c r="E87" s="91">
        <v>4281.2357465624982</v>
      </c>
      <c r="F87" s="94"/>
    </row>
    <row r="88" spans="1:6" x14ac:dyDescent="0.2">
      <c r="A88" s="91">
        <v>10</v>
      </c>
      <c r="B88" s="91">
        <v>3604.386503437499</v>
      </c>
      <c r="C88" s="91">
        <v>3803.7175103124991</v>
      </c>
      <c r="D88" s="91">
        <v>4199.0938481249996</v>
      </c>
      <c r="E88" s="91">
        <v>4491.5190065624993</v>
      </c>
      <c r="F88" s="94"/>
    </row>
    <row r="89" spans="1:6" x14ac:dyDescent="0.2">
      <c r="A89" s="91">
        <v>11</v>
      </c>
      <c r="B89" s="91">
        <v>3716.0994853124994</v>
      </c>
      <c r="C89" s="91">
        <v>3931.8588718749993</v>
      </c>
      <c r="D89" s="91">
        <v>4379.8060246874984</v>
      </c>
      <c r="E89" s="91">
        <v>4708.3736184374993</v>
      </c>
      <c r="F89" s="94"/>
    </row>
    <row r="90" spans="1:6" x14ac:dyDescent="0.2">
      <c r="A90" s="91">
        <v>12</v>
      </c>
      <c r="B90" s="91">
        <v>3831.0981431249998</v>
      </c>
      <c r="C90" s="91">
        <v>4065.4763599999997</v>
      </c>
      <c r="D90" s="91">
        <v>4568.1847784374986</v>
      </c>
      <c r="E90" s="91">
        <v>4931.7995821874993</v>
      </c>
      <c r="F90" s="94"/>
    </row>
    <row r="91" spans="1:6" x14ac:dyDescent="0.2">
      <c r="A91" s="91">
        <v>13</v>
      </c>
      <c r="B91" s="91">
        <v>3949.3824768749992</v>
      </c>
      <c r="C91" s="91">
        <v>4202.3795240624995</v>
      </c>
      <c r="D91" s="91">
        <v>4765.3253346874999</v>
      </c>
      <c r="E91" s="91">
        <v>5163.9873484374993</v>
      </c>
      <c r="F91" s="94"/>
    </row>
    <row r="92" spans="1:6" x14ac:dyDescent="0.2">
      <c r="A92" s="91">
        <v>14</v>
      </c>
      <c r="B92" s="91">
        <v>4072.0477118749995</v>
      </c>
      <c r="C92" s="91">
        <v>4344.7588146874996</v>
      </c>
      <c r="D92" s="91">
        <v>4970.1324681249989</v>
      </c>
      <c r="E92" s="91">
        <v>5401.6512412499987</v>
      </c>
      <c r="F92" s="94"/>
    </row>
    <row r="93" spans="1:6" x14ac:dyDescent="0.2">
      <c r="A93" s="92">
        <v>15</v>
      </c>
      <c r="B93" s="91">
        <v>4205.6651999999985</v>
      </c>
      <c r="C93" s="91">
        <v>4534.2327937499995</v>
      </c>
      <c r="D93" s="91">
        <v>5183.7014040624999</v>
      </c>
      <c r="E93" s="91">
        <v>5656.8387390624985</v>
      </c>
    </row>
    <row r="94" spans="1:6" x14ac:dyDescent="0.2">
      <c r="B94" s="94"/>
      <c r="C94" s="94"/>
      <c r="D94" s="94"/>
      <c r="E94" s="94"/>
    </row>
    <row r="95" spans="1:6" x14ac:dyDescent="0.2">
      <c r="A95" t="s">
        <v>241</v>
      </c>
    </row>
    <row r="96" spans="1:6" x14ac:dyDescent="0.2">
      <c r="A96" t="s">
        <v>242</v>
      </c>
    </row>
    <row r="97" spans="1:4" x14ac:dyDescent="0.2">
      <c r="A97" s="92"/>
      <c r="B97" s="92" t="s">
        <v>58</v>
      </c>
      <c r="C97" s="92" t="s">
        <v>243</v>
      </c>
      <c r="D97" s="92" t="s">
        <v>244</v>
      </c>
    </row>
    <row r="98" spans="1:4" x14ac:dyDescent="0.2">
      <c r="A98" s="92"/>
      <c r="B98" s="92">
        <v>10</v>
      </c>
      <c r="C98" s="92">
        <v>10</v>
      </c>
      <c r="D98" s="91">
        <v>3936.0858493929231</v>
      </c>
    </row>
    <row r="99" spans="1:4" x14ac:dyDescent="0.2">
      <c r="A99" s="92"/>
      <c r="B99" s="92">
        <v>10</v>
      </c>
      <c r="C99" s="92">
        <v>11</v>
      </c>
      <c r="D99" s="91">
        <v>4056.0671582083919</v>
      </c>
    </row>
    <row r="100" spans="1:4" x14ac:dyDescent="0.2">
      <c r="A100" s="92"/>
      <c r="B100" s="92">
        <v>10</v>
      </c>
      <c r="C100" s="92">
        <v>12</v>
      </c>
      <c r="D100" s="91">
        <v>4190.0268719344022</v>
      </c>
    </row>
    <row r="101" spans="1:4" x14ac:dyDescent="0.2">
      <c r="A101" s="92"/>
      <c r="B101" s="92">
        <v>11</v>
      </c>
      <c r="C101" s="92">
        <v>6</v>
      </c>
      <c r="D101" s="91">
        <v>4323.986585660411</v>
      </c>
    </row>
    <row r="102" spans="1:4" x14ac:dyDescent="0.2">
      <c r="A102" s="92"/>
      <c r="B102" s="92">
        <v>11</v>
      </c>
      <c r="C102" s="92">
        <v>7</v>
      </c>
      <c r="D102" s="91">
        <v>4453.2868310829072</v>
      </c>
    </row>
    <row r="103" spans="1:4" x14ac:dyDescent="0.2">
      <c r="A103" s="92"/>
      <c r="B103" s="92">
        <v>11</v>
      </c>
      <c r="C103" s="92">
        <v>8</v>
      </c>
      <c r="D103" s="91">
        <v>4577.9276082018896</v>
      </c>
    </row>
    <row r="104" spans="1:4" x14ac:dyDescent="0.2">
      <c r="A104" s="92"/>
      <c r="B104" s="92">
        <v>11</v>
      </c>
      <c r="C104" s="92">
        <v>9</v>
      </c>
      <c r="D104" s="91">
        <v>4703.7332523967516</v>
      </c>
    </row>
    <row r="105" spans="1:4" x14ac:dyDescent="0.2">
      <c r="A105" s="92"/>
      <c r="B105" s="92">
        <v>11</v>
      </c>
      <c r="C105" s="92">
        <v>10</v>
      </c>
      <c r="D105" s="91">
        <v>4824.8794282880981</v>
      </c>
    </row>
    <row r="106" spans="1:4" x14ac:dyDescent="0.2">
      <c r="A106" s="92"/>
      <c r="B106" s="92">
        <v>12</v>
      </c>
      <c r="C106" s="92">
        <v>3</v>
      </c>
      <c r="D106" s="91">
        <v>4954.1796737105951</v>
      </c>
    </row>
    <row r="107" spans="1:4" x14ac:dyDescent="0.2">
      <c r="A107" s="92"/>
      <c r="B107" s="92">
        <v>12</v>
      </c>
      <c r="C107" s="92">
        <v>4</v>
      </c>
      <c r="D107" s="91">
        <v>5079.9853179054571</v>
      </c>
    </row>
    <row r="108" spans="1:4" x14ac:dyDescent="0.2">
      <c r="A108" s="92"/>
      <c r="B108" s="92">
        <v>12</v>
      </c>
      <c r="C108" s="92">
        <v>5</v>
      </c>
      <c r="D108" s="91">
        <v>5201.1314937968036</v>
      </c>
    </row>
    <row r="109" spans="1:4" x14ac:dyDescent="0.2">
      <c r="A109" s="92"/>
      <c r="B109" s="92">
        <v>12</v>
      </c>
      <c r="C109" s="92">
        <v>6</v>
      </c>
      <c r="D109" s="91">
        <v>5326.9371379916656</v>
      </c>
    </row>
    <row r="110" spans="1:4" x14ac:dyDescent="0.2">
      <c r="A110" s="92"/>
      <c r="B110" s="92">
        <v>12</v>
      </c>
      <c r="C110" s="92">
        <v>7</v>
      </c>
      <c r="D110" s="91">
        <v>5484.1941932352411</v>
      </c>
    </row>
    <row r="111" spans="1:4" x14ac:dyDescent="0.2">
      <c r="A111" s="92"/>
      <c r="B111" s="92">
        <v>13</v>
      </c>
      <c r="C111" s="92">
        <v>5</v>
      </c>
      <c r="D111" s="91">
        <v>5641.4512484788183</v>
      </c>
    </row>
    <row r="112" spans="1:4" x14ac:dyDescent="0.2">
      <c r="A112" s="92"/>
      <c r="B112" s="92">
        <v>13</v>
      </c>
      <c r="C112" s="92">
        <v>6</v>
      </c>
      <c r="D112" s="91">
        <v>5798.7083037223938</v>
      </c>
    </row>
    <row r="113" spans="1:4" x14ac:dyDescent="0.2">
      <c r="A113" s="92"/>
      <c r="B113" s="92">
        <v>13</v>
      </c>
      <c r="C113" s="92">
        <v>7</v>
      </c>
      <c r="D113" s="91">
        <v>5955.9653589659711</v>
      </c>
    </row>
    <row r="114" spans="1:4" x14ac:dyDescent="0.2">
      <c r="A114" s="92"/>
      <c r="B114" s="92">
        <v>14</v>
      </c>
      <c r="C114" s="92">
        <v>6</v>
      </c>
      <c r="D114" s="91">
        <v>6110.892680057791</v>
      </c>
    </row>
    <row r="115" spans="1:4" x14ac:dyDescent="0.2">
      <c r="A115" s="92"/>
      <c r="B115" s="92">
        <v>14</v>
      </c>
      <c r="C115" s="92">
        <v>7</v>
      </c>
      <c r="D115" s="91">
        <v>6270.4794694531238</v>
      </c>
    </row>
    <row r="116" spans="1:4" x14ac:dyDescent="0.2">
      <c r="A116" s="92"/>
      <c r="B116" s="92">
        <v>14</v>
      </c>
      <c r="C116" s="92">
        <v>8</v>
      </c>
      <c r="D116" s="91">
        <v>6439.385195455483</v>
      </c>
    </row>
    <row r="117" spans="1:4" x14ac:dyDescent="0.2">
      <c r="A117" s="92"/>
      <c r="B117" s="92">
        <v>15</v>
      </c>
      <c r="C117" s="92">
        <v>6</v>
      </c>
      <c r="D117" s="91">
        <v>6619.9395922166259</v>
      </c>
    </row>
    <row r="118" spans="1:4" x14ac:dyDescent="0.2">
      <c r="A118" s="92"/>
      <c r="B118" s="92">
        <v>15</v>
      </c>
      <c r="C118" s="92">
        <v>7</v>
      </c>
      <c r="D118" s="91">
        <v>6794.6696535983774</v>
      </c>
    </row>
    <row r="119" spans="1:4" x14ac:dyDescent="0.2">
      <c r="A119" s="92"/>
      <c r="B119" s="92">
        <v>15</v>
      </c>
      <c r="C119" s="92">
        <v>8</v>
      </c>
      <c r="D119" s="91">
        <v>6974.0591832836435</v>
      </c>
    </row>
    <row r="120" spans="1:4" x14ac:dyDescent="0.2">
      <c r="A120" s="92"/>
      <c r="B120" s="92">
        <v>16</v>
      </c>
      <c r="C120" s="92">
        <v>6</v>
      </c>
      <c r="D120" s="91">
        <v>7186.0649910935008</v>
      </c>
    </row>
    <row r="121" spans="1:4" x14ac:dyDescent="0.2">
      <c r="A121" s="92"/>
      <c r="B121" s="92">
        <v>16</v>
      </c>
      <c r="C121" s="92">
        <v>7</v>
      </c>
      <c r="D121" s="91">
        <v>7392.2464635239685</v>
      </c>
    </row>
    <row r="122" spans="1:4" x14ac:dyDescent="0.2">
      <c r="A122" s="92"/>
      <c r="B122" s="92">
        <v>16</v>
      </c>
      <c r="C122" s="92">
        <v>8</v>
      </c>
      <c r="D122" s="91">
        <v>7600.7576701061898</v>
      </c>
    </row>
    <row r="123" spans="1:4" x14ac:dyDescent="0.2">
      <c r="A123" s="92"/>
      <c r="B123" s="92">
        <v>17</v>
      </c>
      <c r="C123" s="92">
        <v>6</v>
      </c>
      <c r="D123" s="91">
        <v>7809.2688766884157</v>
      </c>
    </row>
    <row r="124" spans="1:4" x14ac:dyDescent="0.2">
      <c r="A124" s="92"/>
      <c r="B124" s="92">
        <v>17</v>
      </c>
      <c r="C124" s="92">
        <v>7</v>
      </c>
      <c r="D124" s="91">
        <v>8016.6152161947603</v>
      </c>
    </row>
    <row r="125" spans="1:4" x14ac:dyDescent="0.2">
      <c r="A125" s="92"/>
      <c r="B125" s="92">
        <v>17</v>
      </c>
      <c r="C125" s="92">
        <v>8</v>
      </c>
      <c r="D125" s="91">
        <v>8226.2912898528612</v>
      </c>
    </row>
    <row r="126" spans="1:4" x14ac:dyDescent="0.2">
      <c r="A126" s="92"/>
      <c r="B126" s="92">
        <v>18</v>
      </c>
      <c r="C126" s="92">
        <v>6</v>
      </c>
      <c r="D126" s="91">
        <v>8482.5620465460961</v>
      </c>
    </row>
    <row r="127" spans="1:4" x14ac:dyDescent="0.2">
      <c r="A127" s="92"/>
      <c r="B127" s="92">
        <v>18</v>
      </c>
      <c r="C127" s="92">
        <v>7</v>
      </c>
      <c r="D127" s="91">
        <v>8734.1733349358183</v>
      </c>
    </row>
    <row r="128" spans="1:4" x14ac:dyDescent="0.2">
      <c r="A128" s="92"/>
      <c r="B128" s="92">
        <v>18</v>
      </c>
      <c r="C128" s="92">
        <v>8</v>
      </c>
      <c r="D128" s="91">
        <v>8986.9494904014209</v>
      </c>
    </row>
    <row r="130" spans="1:4" x14ac:dyDescent="0.2">
      <c r="A130" t="s">
        <v>245</v>
      </c>
    </row>
    <row r="131" spans="1:4" x14ac:dyDescent="0.2">
      <c r="D131" s="95"/>
    </row>
    <row r="132" spans="1:4" ht="15" x14ac:dyDescent="0.25">
      <c r="A132" s="96" t="s">
        <v>246</v>
      </c>
      <c r="D132" s="95"/>
    </row>
    <row r="133" spans="1:4" x14ac:dyDescent="0.2">
      <c r="A133" t="s">
        <v>247</v>
      </c>
      <c r="D133" s="95"/>
    </row>
    <row r="134" spans="1:4" x14ac:dyDescent="0.2">
      <c r="D134" s="97">
        <v>6.3E-2</v>
      </c>
    </row>
    <row r="135" spans="1:4" x14ac:dyDescent="0.2">
      <c r="D135" s="95"/>
    </row>
    <row r="136" spans="1:4" ht="15" x14ac:dyDescent="0.25">
      <c r="A136" s="96" t="s">
        <v>73</v>
      </c>
      <c r="D136" s="95"/>
    </row>
    <row r="137" spans="1:4" x14ac:dyDescent="0.2">
      <c r="A137" t="s">
        <v>248</v>
      </c>
      <c r="D137" s="95"/>
    </row>
    <row r="138" spans="1:4" x14ac:dyDescent="0.2">
      <c r="A138" t="s">
        <v>249</v>
      </c>
      <c r="D138" s="95">
        <v>1246.7339339710734</v>
      </c>
    </row>
    <row r="139" spans="1:4" x14ac:dyDescent="0.2">
      <c r="A139" t="s">
        <v>250</v>
      </c>
      <c r="D139" s="95">
        <v>1194.3149155565479</v>
      </c>
    </row>
    <row r="140" spans="1:4" x14ac:dyDescent="0.2">
      <c r="D140" s="95"/>
    </row>
    <row r="141" spans="1:4" ht="15" x14ac:dyDescent="0.25">
      <c r="A141" s="96" t="s">
        <v>251</v>
      </c>
      <c r="D141" s="95"/>
    </row>
    <row r="142" spans="1:4" x14ac:dyDescent="0.2">
      <c r="A142" t="s">
        <v>252</v>
      </c>
      <c r="D142" s="95"/>
    </row>
    <row r="143" spans="1:4" x14ac:dyDescent="0.2">
      <c r="D143" s="95">
        <v>200</v>
      </c>
    </row>
    <row r="144" spans="1:4" x14ac:dyDescent="0.2">
      <c r="D144" s="95"/>
    </row>
    <row r="145" spans="1:4" x14ac:dyDescent="0.2">
      <c r="D145" s="95"/>
    </row>
    <row r="146" spans="1:4" x14ac:dyDescent="0.2">
      <c r="A146" t="s">
        <v>253</v>
      </c>
      <c r="D146" s="95"/>
    </row>
    <row r="147" spans="1:4" ht="15" x14ac:dyDescent="0.25">
      <c r="A147" s="96" t="s">
        <v>254</v>
      </c>
      <c r="D147" s="95"/>
    </row>
    <row r="148" spans="1:4" x14ac:dyDescent="0.2">
      <c r="A148" t="s">
        <v>255</v>
      </c>
      <c r="D148" s="95"/>
    </row>
    <row r="149" spans="1:4" x14ac:dyDescent="0.2">
      <c r="D149" s="95"/>
    </row>
    <row r="150" spans="1:4" x14ac:dyDescent="0.2">
      <c r="A150" t="s">
        <v>224</v>
      </c>
      <c r="D150" s="95">
        <v>34.060713298682764</v>
      </c>
    </row>
    <row r="151" spans="1:4" x14ac:dyDescent="0.2">
      <c r="A151" t="s">
        <v>225</v>
      </c>
      <c r="D151" s="95">
        <v>29.878840496279508</v>
      </c>
    </row>
    <row r="152" spans="1:4" x14ac:dyDescent="0.2">
      <c r="A152" t="s">
        <v>226</v>
      </c>
      <c r="D152" s="95">
        <v>54.410941114277421</v>
      </c>
    </row>
    <row r="153" spans="1:4" x14ac:dyDescent="0.2">
      <c r="A153" t="s">
        <v>227</v>
      </c>
      <c r="D153" s="95">
        <v>26.90842945278974</v>
      </c>
    </row>
    <row r="154" spans="1:4" x14ac:dyDescent="0.2">
      <c r="D154" s="95"/>
    </row>
    <row r="155" spans="1:4" ht="15" x14ac:dyDescent="0.25">
      <c r="A155" s="96" t="s">
        <v>256</v>
      </c>
      <c r="D155" s="95"/>
    </row>
    <row r="156" spans="1:4" x14ac:dyDescent="0.2">
      <c r="A156" t="s">
        <v>257</v>
      </c>
      <c r="D156" s="95"/>
    </row>
    <row r="157" spans="1:4" x14ac:dyDescent="0.2">
      <c r="D157" s="95">
        <v>119.55030799739438</v>
      </c>
    </row>
    <row r="158" spans="1:4" x14ac:dyDescent="0.2">
      <c r="D158" s="95"/>
    </row>
    <row r="159" spans="1:4" ht="15" x14ac:dyDescent="0.25">
      <c r="A159" s="96" t="s">
        <v>258</v>
      </c>
      <c r="D159" s="95"/>
    </row>
    <row r="160" spans="1:4" x14ac:dyDescent="0.2">
      <c r="D160" s="95"/>
    </row>
    <row r="161" spans="1:4" x14ac:dyDescent="0.2">
      <c r="D161" s="95"/>
    </row>
    <row r="162" spans="1:4" x14ac:dyDescent="0.2">
      <c r="A162" t="s">
        <v>259</v>
      </c>
      <c r="D162" s="95">
        <v>134.49555258091351</v>
      </c>
    </row>
    <row r="163" spans="1:4" x14ac:dyDescent="0.2">
      <c r="A163" t="s">
        <v>260</v>
      </c>
      <c r="D163" s="95">
        <v>268.99110516182702</v>
      </c>
    </row>
    <row r="164" spans="1:4" x14ac:dyDescent="0.2">
      <c r="D164" s="95"/>
    </row>
    <row r="165" spans="1:4" x14ac:dyDescent="0.2">
      <c r="D165" s="95"/>
    </row>
    <row r="166" spans="1:4" s="96" customFormat="1" ht="15" x14ac:dyDescent="0.25">
      <c r="A166" s="96" t="s">
        <v>261</v>
      </c>
      <c r="D166" s="98">
        <v>163.65217549014801</v>
      </c>
    </row>
    <row r="167" spans="1:4" s="96" customFormat="1" ht="15" x14ac:dyDescent="0.25"/>
    <row r="168" spans="1:4" s="96" customFormat="1" ht="15" x14ac:dyDescent="0.25"/>
    <row r="169" spans="1:4" s="96" customFormat="1" ht="15" x14ac:dyDescent="0.25"/>
    <row r="170" spans="1:4" s="96" customFormat="1" ht="15" x14ac:dyDescent="0.25"/>
    <row r="171" spans="1:4" s="96" customFormat="1" ht="15" x14ac:dyDescent="0.25"/>
    <row r="172" spans="1:4" s="96" customFormat="1" ht="15" x14ac:dyDescent="0.25"/>
    <row r="173" spans="1:4" s="96" customFormat="1" ht="15" x14ac:dyDescent="0.25"/>
    <row r="174" spans="1:4" s="96" customFormat="1" ht="15" x14ac:dyDescent="0.25"/>
    <row r="175" spans="1:4" s="96" customFormat="1" ht="15" x14ac:dyDescent="0.25"/>
    <row r="176" spans="1:4" s="96" customFormat="1" ht="15" x14ac:dyDescent="0.25"/>
    <row r="177" s="96" customFormat="1" ht="15" x14ac:dyDescent="0.25"/>
    <row r="178" s="96" customFormat="1" ht="15" x14ac:dyDescent="0.25"/>
    <row r="179" s="96" customFormat="1" 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e408a69-fb97-4716-8af1-a872e3f7f02e" xsi:nil="true"/>
    <lcf76f155ced4ddcb4097134ff3c332f xmlns="6168b6c1-e810-47fe-8163-bf9b9d31d68b">
      <Terms xmlns="http://schemas.microsoft.com/office/infopath/2007/PartnerControls"/>
    </lcf76f155ced4ddcb4097134ff3c332f>
    <SharedWithUsers xmlns="8e408a69-fb97-4716-8af1-a872e3f7f02e">
      <UserInfo>
        <DisplayName>Reinier Goedhart</DisplayName>
        <AccountId>24</AccountId>
        <AccountType/>
      </UserInfo>
      <UserInfo>
        <DisplayName>Kitty Attema</DisplayName>
        <AccountId>390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A4239089D7904FAEE920AFD682F253" ma:contentTypeVersion="14" ma:contentTypeDescription="Een nieuw document maken." ma:contentTypeScope="" ma:versionID="3950f5fba55b1dd32f016ff8f3bb0797">
  <xsd:schema xmlns:xsd="http://www.w3.org/2001/XMLSchema" xmlns:xs="http://www.w3.org/2001/XMLSchema" xmlns:p="http://schemas.microsoft.com/office/2006/metadata/properties" xmlns:ns2="6168b6c1-e810-47fe-8163-bf9b9d31d68b" xmlns:ns3="8e408a69-fb97-4716-8af1-a872e3f7f02e" targetNamespace="http://schemas.microsoft.com/office/2006/metadata/properties" ma:root="true" ma:fieldsID="f930105adeb553d7ded149b7c654ab22" ns2:_="" ns3:_="">
    <xsd:import namespace="6168b6c1-e810-47fe-8163-bf9b9d31d68b"/>
    <xsd:import namespace="8e408a69-fb97-4716-8af1-a872e3f7f0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68b6c1-e810-47fe-8163-bf9b9d31d6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408a69-fb97-4716-8af1-a872e3f7f02e"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16" nillable="true" ma:displayName="Taxonomy Catch All Column" ma:hidden="true" ma:list="{18815cea-9793-4950-910a-e45689a6e2a6}" ma:internalName="TaxCatchAll" ma:showField="CatchAllData" ma:web="8e408a69-fb97-4716-8af1-a872e3f7f0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Y D A A B Q S w M E F A A C A A g A G 6 I u T m z p z s u m A A A A + A A A A B I A H A B D b 2 5 m a W c v U G F j a 2 F n Z S 5 4 b W w g o h g A K K A U A A A A A A A A A A A A A A A A A A A A A A A A A A A A h Y + 9 D o I w G E V f h X S n P x A M I R 9 l c A V j Y m J c m 1 q h E Y q h x f J u D j 6 S r y C J o m 6 O 9 + Q M 5 z 5 u d y i m r g 2 u a r C 6 N z l i m K J A G d k f t a l z N L p T m K K C w 1 b I s 6 h V M M v G Z p M 9 5 q h x 7 p I R 4 r 3 H P s b 9 U J O I U k Y O V b m T j e o E + s j 6 v x x q Y 5 0 w U i E O + 1 c M j / A q w U n M Y s x S B m T B U G n z V a K 5 G F M g P x D W Y + v G Q X H T h p s S y D K B v F / w J 1 B L A w Q U A A I A C A A b o i 5 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6 I u T i i K R 7 g O A A A A E Q A A A B M A H A B G b 3 J t d W x h c y 9 T Z W N 0 a W 9 u M S 5 t I K I Y A C i g F A A A A A A A A A A A A A A A A A A A A A A A A A A A A C t O T S 7 J z M 9 T C I b Q h t Y A U E s B A i 0 A F A A C A A g A G 6 I u T m z p z s u m A A A A + A A A A B I A A A A A A A A A A A A A A A A A A A A A A E N v b m Z p Z y 9 Q Y W N r Y W d l L n h t b F B L A Q I t A B Q A A g A I A B u i L k 4 P y u m r p A A A A O k A A A A T A A A A A A A A A A A A A A A A A P I A A A B b Q 2 9 u d G V u d F 9 U e X B l c 1 0 u e G 1 s U E s B A i 0 A F A A C A A g A G 6 I u 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f Y m T 6 e e q V O k d g V E v U i v n s A A A A A A g A A A A A A A 2 Y A A M A A A A A Q A A A A + g Q + M W J L 4 U i E y g 1 5 O + A L u g A A A A A E g A A A o A A A A B A A A A D B j l c b n z 5 b 1 k B T C 3 b W 7 m V i U A A A A J 5 e J / 9 C n a 5 O X V 9 L Y 4 q P 5 H f U 4 u c k C d H s u F J t 5 Q 9 C o t h A m h O R L c h v M 9 h G G i M n x U 2 M H u p i f X 5 q / Z m 9 + Q v 0 K i 7 7 z s 5 M X T f t m I Y e T v E x A l / I + 6 P o F A A A A F 0 l K I e X o j j a s S G J t M a n 6 a n C 6 W 0 Q < / D a t a M a s h u p > 
</file>

<file path=customXml/itemProps1.xml><?xml version="1.0" encoding="utf-8"?>
<ds:datastoreItem xmlns:ds="http://schemas.openxmlformats.org/officeDocument/2006/customXml" ds:itemID="{E2B9D7B9-37EE-4727-BB89-DC2D3386DCF8}">
  <ds:schemaRefs>
    <ds:schemaRef ds:uri="http://schemas.microsoft.com/office/2006/metadata/properties"/>
    <ds:schemaRef ds:uri="http://schemas.microsoft.com/office/infopath/2007/PartnerControls"/>
    <ds:schemaRef ds:uri="8e408a69-fb97-4716-8af1-a872e3f7f02e"/>
    <ds:schemaRef ds:uri="6168b6c1-e810-47fe-8163-bf9b9d31d68b"/>
  </ds:schemaRefs>
</ds:datastoreItem>
</file>

<file path=customXml/itemProps2.xml><?xml version="1.0" encoding="utf-8"?>
<ds:datastoreItem xmlns:ds="http://schemas.openxmlformats.org/officeDocument/2006/customXml" ds:itemID="{1F15389A-6686-4EF0-98E8-FDDA70A37F8F}">
  <ds:schemaRefs>
    <ds:schemaRef ds:uri="http://schemas.microsoft.com/sharepoint/v3/contenttype/forms"/>
  </ds:schemaRefs>
</ds:datastoreItem>
</file>

<file path=customXml/itemProps3.xml><?xml version="1.0" encoding="utf-8"?>
<ds:datastoreItem xmlns:ds="http://schemas.openxmlformats.org/officeDocument/2006/customXml" ds:itemID="{B9DC82A6-8BBB-4197-86EC-6E0A61B2CF93}"/>
</file>

<file path=customXml/itemProps4.xml><?xml version="1.0" encoding="utf-8"?>
<ds:datastoreItem xmlns:ds="http://schemas.openxmlformats.org/officeDocument/2006/customXml" ds:itemID="{E57E7D4B-8705-4861-AC96-7A04EC5B98F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11</vt:i4>
      </vt:variant>
    </vt:vector>
  </HeadingPairs>
  <TitlesOfParts>
    <vt:vector size="16" baseType="lpstr">
      <vt:lpstr>toelichting</vt:lpstr>
      <vt:lpstr> wg lasten individueel</vt:lpstr>
      <vt:lpstr>wg lasten totaal</vt:lpstr>
      <vt:lpstr>tabellen</vt:lpstr>
      <vt:lpstr>Blad1</vt:lpstr>
      <vt:lpstr>' wg lasten individueel'!Afdrukbereik</vt:lpstr>
      <vt:lpstr>tabellen!Afdrukbereik</vt:lpstr>
      <vt:lpstr>toelichting!Afdrukbereik</vt:lpstr>
      <vt:lpstr>arbeidsmarkttoelage</vt:lpstr>
      <vt:lpstr>Bindingstoelage</vt:lpstr>
      <vt:lpstr>eindejaarsuitkering_OOP</vt:lpstr>
      <vt:lpstr>premie_Vervaningsfonds__Vf</vt:lpstr>
      <vt:lpstr>premies</vt:lpstr>
      <vt:lpstr>salaristabel2023</vt:lpstr>
      <vt:lpstr>schaalregel</vt:lpstr>
      <vt:lpstr>uitlooptoeslag</vt:lpstr>
    </vt:vector>
  </TitlesOfParts>
  <Manager/>
  <Company>VOS/ABB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subject/>
  <dc:creator>Keizer</dc:creator>
  <cp:keywords/>
  <dc:description/>
  <cp:lastModifiedBy>Kitty Attema</cp:lastModifiedBy>
  <cp:revision/>
  <dcterms:created xsi:type="dcterms:W3CDTF">2002-04-23T20:54:25Z</dcterms:created>
  <dcterms:modified xsi:type="dcterms:W3CDTF">2023-12-20T12:53:42Z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0x01010049A4239089D7904FAEE920AFD682F253</vt:lpwstr>
  </property>
  <property fmtid="{D5CDD505-2E9C-101B-9397-08002B2CF9AE}" pid="3" name="MediaServiceImageTags">
    <vt:lpwstr/>
  </property>
</Properties>
</file>